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Cash flow" sheetId="1" r:id="rId1"/>
    <sheet name="Working 31.03.14" sheetId="2" r:id="rId2"/>
    <sheet name="Working 31.03.13" sheetId="4" r:id="rId3"/>
    <sheet name="Working 31.03.15" sheetId="5" r:id="rId4"/>
    <sheet name="Sheet1" sheetId="6" r:id="rId5"/>
    <sheet name="Works" sheetId="7" r:id="rId6"/>
  </sheets>
  <externalReferences>
    <externalReference r:id="rId7"/>
  </externalReferences>
  <definedNames>
    <definedName name="_xlnm.Print_Area" localSheetId="0">'Cash flow'!$A$1:$F$75</definedName>
    <definedName name="_xlnm.Print_Area" localSheetId="2">'Working 31.03.13'!$A$1:$X$94</definedName>
    <definedName name="_xlnm.Print_Area" localSheetId="1">'Working 31.03.14'!$A$1:$Y$95</definedName>
    <definedName name="_xlnm.Print_Area" localSheetId="3">'Working 31.03.15'!$A$1:$Y$95</definedName>
    <definedName name="_xlnm.Print_Area" localSheetId="5">Works!$A$1:$F$78</definedName>
  </definedNames>
  <calcPr calcId="124519"/>
</workbook>
</file>

<file path=xl/calcChain.xml><?xml version="1.0" encoding="utf-8"?>
<calcChain xmlns="http://schemas.openxmlformats.org/spreadsheetml/2006/main">
  <c r="D9" i="1"/>
  <c r="G9"/>
  <c r="G18"/>
  <c r="D9" i="7"/>
  <c r="E58" l="1"/>
  <c r="D56"/>
  <c r="D58" s="1"/>
  <c r="D50" s="1"/>
  <c r="C56"/>
  <c r="C58" s="1"/>
  <c r="C50" s="1"/>
  <c r="E44"/>
  <c r="D44"/>
  <c r="C44"/>
  <c r="H43"/>
  <c r="E43"/>
  <c r="D43"/>
  <c r="C43"/>
  <c r="E40"/>
  <c r="E45" s="1"/>
  <c r="D40"/>
  <c r="D45" s="1"/>
  <c r="C40"/>
  <c r="C45" s="1"/>
  <c r="E36"/>
  <c r="D36"/>
  <c r="C36"/>
  <c r="D33"/>
  <c r="C33"/>
  <c r="E32"/>
  <c r="D32"/>
  <c r="C32"/>
  <c r="E31"/>
  <c r="E37" s="1"/>
  <c r="D31"/>
  <c r="C31"/>
  <c r="C37" s="1"/>
  <c r="E25"/>
  <c r="D25"/>
  <c r="C25"/>
  <c r="E23"/>
  <c r="D23"/>
  <c r="C23"/>
  <c r="E22"/>
  <c r="D22"/>
  <c r="C22"/>
  <c r="E21"/>
  <c r="D21"/>
  <c r="C21"/>
  <c r="E20"/>
  <c r="D20"/>
  <c r="C20"/>
  <c r="E16"/>
  <c r="D16"/>
  <c r="C16"/>
  <c r="E14"/>
  <c r="D14"/>
  <c r="D17" s="1"/>
  <c r="D24" s="1"/>
  <c r="D26" s="1"/>
  <c r="C14"/>
  <c r="E13"/>
  <c r="E17" s="1"/>
  <c r="E24" s="1"/>
  <c r="E26" s="1"/>
  <c r="E29" s="1"/>
  <c r="D13"/>
  <c r="C13"/>
  <c r="C9"/>
  <c r="F56" i="5"/>
  <c r="F51" i="2"/>
  <c r="D53" i="1"/>
  <c r="Q14" i="5"/>
  <c r="O44"/>
  <c r="C17" i="7" l="1"/>
  <c r="C24" s="1"/>
  <c r="C26" s="1"/>
  <c r="C29" s="1"/>
  <c r="C47" s="1"/>
  <c r="C60" s="1"/>
  <c r="D37"/>
  <c r="D29"/>
  <c r="D47" s="1"/>
  <c r="E47"/>
  <c r="E50" s="1"/>
  <c r="D49" s="1"/>
  <c r="C53" i="1"/>
  <c r="G58" i="5"/>
  <c r="D60" i="7" l="1"/>
  <c r="P50" i="5"/>
  <c r="F51" l="1"/>
  <c r="J7" i="6" l="1"/>
  <c r="I7"/>
  <c r="I9"/>
  <c r="I11" l="1"/>
  <c r="P81" i="5"/>
  <c r="P82"/>
  <c r="P84"/>
  <c r="C14" i="1" l="1"/>
  <c r="G31" i="5"/>
  <c r="K18" i="6" l="1"/>
  <c r="E13" i="1" l="1"/>
  <c r="E14"/>
  <c r="E16"/>
  <c r="E55"/>
  <c r="E17" l="1"/>
  <c r="C55"/>
  <c r="C47" s="1"/>
  <c r="O8" i="5"/>
  <c r="P11" s="1"/>
  <c r="O3"/>
  <c r="P6" s="1"/>
  <c r="P12" s="1"/>
  <c r="G46"/>
  <c r="F41" l="1"/>
  <c r="G42" s="1"/>
  <c r="C16" i="1"/>
  <c r="C13"/>
  <c r="F93" i="5"/>
  <c r="F88"/>
  <c r="F79"/>
  <c r="C34" i="1" s="1"/>
  <c r="P72" i="5"/>
  <c r="P74" s="1"/>
  <c r="C31" i="1" s="1"/>
  <c r="F69" i="5"/>
  <c r="F66"/>
  <c r="P62"/>
  <c r="W60"/>
  <c r="C40" i="1" s="1"/>
  <c r="P59" i="5"/>
  <c r="P63" s="1"/>
  <c r="G53"/>
  <c r="W50"/>
  <c r="C38" i="1" s="1"/>
  <c r="P44" i="5"/>
  <c r="P46" s="1"/>
  <c r="P52" s="1"/>
  <c r="G45"/>
  <c r="G47" s="1"/>
  <c r="P36"/>
  <c r="G34"/>
  <c r="V33"/>
  <c r="V38" s="1"/>
  <c r="U33"/>
  <c r="U38" s="1"/>
  <c r="Y32"/>
  <c r="P28"/>
  <c r="G22"/>
  <c r="G24" s="1"/>
  <c r="V21"/>
  <c r="T24" s="1"/>
  <c r="U21"/>
  <c r="T23" s="1"/>
  <c r="T21"/>
  <c r="W20"/>
  <c r="P20"/>
  <c r="O18"/>
  <c r="O17"/>
  <c r="W8"/>
  <c r="W21" s="1"/>
  <c r="Y21" s="1"/>
  <c r="G7"/>
  <c r="G10" s="1"/>
  <c r="D16" i="1"/>
  <c r="D14"/>
  <c r="D13"/>
  <c r="W60" i="2"/>
  <c r="D40" i="1" s="1"/>
  <c r="W50" i="2"/>
  <c r="D38" i="1" s="1"/>
  <c r="O48" i="2"/>
  <c r="O44"/>
  <c r="O8"/>
  <c r="P11" s="1"/>
  <c r="O3"/>
  <c r="P6" s="1"/>
  <c r="F56"/>
  <c r="G53"/>
  <c r="G34"/>
  <c r="G31"/>
  <c r="V17" i="4"/>
  <c r="S17"/>
  <c r="D55" i="1"/>
  <c r="V60" i="4"/>
  <c r="E40" i="1" s="1"/>
  <c r="V49" i="4"/>
  <c r="V47"/>
  <c r="C17" i="1" l="1"/>
  <c r="C21"/>
  <c r="G36" i="5"/>
  <c r="C25" i="1"/>
  <c r="G14" i="5"/>
  <c r="P18"/>
  <c r="P21" s="1"/>
  <c r="P38"/>
  <c r="C30" i="1" s="1"/>
  <c r="G59" i="5"/>
  <c r="I61" s="1"/>
  <c r="C20" i="1" s="1"/>
  <c r="C32"/>
  <c r="C23"/>
  <c r="F71" i="5"/>
  <c r="C22" i="1" s="1"/>
  <c r="T25" i="5"/>
  <c r="W38"/>
  <c r="P85"/>
  <c r="C41" i="1" s="1"/>
  <c r="C42" s="1"/>
  <c r="V50" i="4"/>
  <c r="E38" i="1" s="1"/>
  <c r="P12" i="2"/>
  <c r="G36"/>
  <c r="D21" i="1" s="1"/>
  <c r="O8" i="4"/>
  <c r="P11" s="1"/>
  <c r="O3"/>
  <c r="P6" s="1"/>
  <c r="F55"/>
  <c r="F50"/>
  <c r="G52" s="1"/>
  <c r="G45"/>
  <c r="F40"/>
  <c r="G34"/>
  <c r="G31"/>
  <c r="F91"/>
  <c r="P70"/>
  <c r="F86"/>
  <c r="P67"/>
  <c r="P68" s="1"/>
  <c r="F78"/>
  <c r="E34" i="1" s="1"/>
  <c r="P58" i="4"/>
  <c r="P60" s="1"/>
  <c r="E31" i="1" s="1"/>
  <c r="F68" i="4"/>
  <c r="F70" s="1"/>
  <c r="E22" i="1" s="1"/>
  <c r="P48" i="4"/>
  <c r="F65"/>
  <c r="P45"/>
  <c r="P49" s="1"/>
  <c r="G56"/>
  <c r="P36"/>
  <c r="P30"/>
  <c r="P32" s="1"/>
  <c r="P22"/>
  <c r="P24" s="1"/>
  <c r="E30" i="1" s="1"/>
  <c r="G41" i="4"/>
  <c r="G44" s="1"/>
  <c r="G46" s="1"/>
  <c r="U33"/>
  <c r="U38" s="1"/>
  <c r="T33"/>
  <c r="T38" s="1"/>
  <c r="X32"/>
  <c r="G22"/>
  <c r="G24" s="1"/>
  <c r="T21"/>
  <c r="S23" s="1"/>
  <c r="S21"/>
  <c r="V20"/>
  <c r="V19"/>
  <c r="V18"/>
  <c r="U21"/>
  <c r="V8"/>
  <c r="G7"/>
  <c r="G10" s="1"/>
  <c r="G14" s="1"/>
  <c r="E25" i="1" s="1"/>
  <c r="D47"/>
  <c r="D17"/>
  <c r="G46" i="2"/>
  <c r="F41"/>
  <c r="G42" s="1"/>
  <c r="F92"/>
  <c r="Y32"/>
  <c r="F79"/>
  <c r="D34" i="1" s="1"/>
  <c r="P81" i="2"/>
  <c r="P82" s="1"/>
  <c r="P72"/>
  <c r="P74" s="1"/>
  <c r="D31" i="1" s="1"/>
  <c r="O18" i="2"/>
  <c r="P18" s="1"/>
  <c r="O17"/>
  <c r="P50"/>
  <c r="P84"/>
  <c r="F87"/>
  <c r="F69"/>
  <c r="P62"/>
  <c r="F66"/>
  <c r="F71" s="1"/>
  <c r="D22" i="1" s="1"/>
  <c r="P59" i="2"/>
  <c r="P63" s="1"/>
  <c r="G57"/>
  <c r="P44"/>
  <c r="P46" s="1"/>
  <c r="P36"/>
  <c r="P38" s="1"/>
  <c r="D30" i="1" s="1"/>
  <c r="V33" i="2"/>
  <c r="V38" s="1"/>
  <c r="U33"/>
  <c r="U38" s="1"/>
  <c r="P28"/>
  <c r="G22"/>
  <c r="G24" s="1"/>
  <c r="V21"/>
  <c r="T24" s="1"/>
  <c r="U21"/>
  <c r="T23" s="1"/>
  <c r="W20"/>
  <c r="P20"/>
  <c r="W8"/>
  <c r="G7"/>
  <c r="G10" s="1"/>
  <c r="G14" s="1"/>
  <c r="D25" i="1" s="1"/>
  <c r="T21" i="2"/>
  <c r="G47" l="1"/>
  <c r="G45"/>
  <c r="C35" i="1"/>
  <c r="E35"/>
  <c r="C24"/>
  <c r="C26" s="1"/>
  <c r="C28" s="1"/>
  <c r="W21" i="2"/>
  <c r="W38"/>
  <c r="Q14"/>
  <c r="D23" i="1" s="1"/>
  <c r="G36" i="4"/>
  <c r="E21" i="1" s="1"/>
  <c r="P12" i="4"/>
  <c r="P52" i="2"/>
  <c r="D32" i="1" s="1"/>
  <c r="D35" s="1"/>
  <c r="G58" i="2"/>
  <c r="P21"/>
  <c r="P85"/>
  <c r="D41" i="1" s="1"/>
  <c r="D42" s="1"/>
  <c r="Y21" i="2"/>
  <c r="T25"/>
  <c r="P38" i="4"/>
  <c r="Q14"/>
  <c r="E23" i="1" s="1"/>
  <c r="V21" i="4"/>
  <c r="G57"/>
  <c r="I59" s="1"/>
  <c r="E20" i="1" s="1"/>
  <c r="V38" i="4"/>
  <c r="P71"/>
  <c r="E41" i="1" s="1"/>
  <c r="E42" s="1"/>
  <c r="C44" l="1"/>
  <c r="C57" s="1"/>
  <c r="E24"/>
  <c r="E26" s="1"/>
  <c r="E28" s="1"/>
  <c r="E44" s="1"/>
  <c r="E47" s="1"/>
  <c r="I60" i="2"/>
  <c r="D20" i="1" s="1"/>
  <c r="D24" s="1"/>
  <c r="D26" s="1"/>
  <c r="D28" s="1"/>
  <c r="X21" i="4"/>
  <c r="S24" s="1"/>
  <c r="D44" i="1" l="1"/>
  <c r="S25" i="4"/>
  <c r="D46" i="1" l="1"/>
  <c r="D57" s="1"/>
</calcChain>
</file>

<file path=xl/sharedStrings.xml><?xml version="1.0" encoding="utf-8"?>
<sst xmlns="http://schemas.openxmlformats.org/spreadsheetml/2006/main" count="606" uniqueCount="196">
  <si>
    <t>Year ended</t>
  </si>
  <si>
    <t>(Rupees)</t>
  </si>
  <si>
    <t>1)</t>
  </si>
  <si>
    <t>Adjustments for :</t>
  </si>
  <si>
    <t>Depreciation</t>
  </si>
  <si>
    <t>Interest Charged</t>
  </si>
  <si>
    <t>Profit on sale of Assets</t>
  </si>
  <si>
    <t>Interest Receipts</t>
  </si>
  <si>
    <t>Operating profit before working capital changes</t>
  </si>
  <si>
    <t>Adjustments for change in :</t>
  </si>
  <si>
    <t>Trade &amp; Other  Receivables</t>
  </si>
  <si>
    <t>Inventories</t>
  </si>
  <si>
    <t>Other current assets</t>
  </si>
  <si>
    <t>Trades Payable</t>
  </si>
  <si>
    <t>Cash Generated from Operations</t>
  </si>
  <si>
    <t>Cash Flow after Extraordinary items</t>
  </si>
  <si>
    <t>2)</t>
  </si>
  <si>
    <t xml:space="preserve">  Purchase of fixed Assets</t>
  </si>
  <si>
    <t xml:space="preserve">  Interest Received</t>
  </si>
  <si>
    <t xml:space="preserve">  Sale of fixed Assets</t>
  </si>
  <si>
    <t>3)</t>
  </si>
  <si>
    <t>Long term Borrowings Received</t>
  </si>
  <si>
    <t>Long term Borrowings Repaid</t>
  </si>
  <si>
    <t>Short term Borrowings Received</t>
  </si>
  <si>
    <t>Interest paid</t>
  </si>
  <si>
    <t>Cash and Cash equivalents as at - Opening</t>
  </si>
  <si>
    <t>Cash and Cash equivalents as at - Closing</t>
  </si>
  <si>
    <t>Closing Cash balance consists of the following:</t>
  </si>
  <si>
    <t>Cash on hand</t>
  </si>
  <si>
    <t>Bank balances:</t>
  </si>
  <si>
    <t xml:space="preserve">   - In Current Account</t>
  </si>
  <si>
    <t>This is the Cash Flow Statement  referred to in our report of even date</t>
  </si>
  <si>
    <t>SRI RAMAKRISHNA MILLS (COIMBATORE) LTD</t>
  </si>
  <si>
    <t>Lease rent</t>
  </si>
  <si>
    <t xml:space="preserve">   - In LC Margin Deposit *</t>
  </si>
  <si>
    <t>31.03.2013</t>
  </si>
  <si>
    <t xml:space="preserve">  Lease rent Receipt</t>
  </si>
  <si>
    <t>Short term Borrowings Repaid</t>
  </si>
  <si>
    <t>Chairman</t>
  </si>
  <si>
    <t xml:space="preserve"> </t>
  </si>
  <si>
    <t>Managing Director</t>
  </si>
  <si>
    <t xml:space="preserve">  For M.S.JAGANNATHAN &amp; VISVANATHAN</t>
  </si>
  <si>
    <t>Chartered Accountant</t>
  </si>
  <si>
    <t>CURRENT LIABILITIES</t>
  </si>
  <si>
    <t>SECURED LOAN</t>
  </si>
  <si>
    <t>INCOME TAX AND WEALTH TAX</t>
  </si>
  <si>
    <t>Balance at the end of the year</t>
  </si>
  <si>
    <t>Less: Interest acc but not due at the end of the year</t>
  </si>
  <si>
    <t>LONG TERM LOAN</t>
  </si>
  <si>
    <t xml:space="preserve">Opening </t>
  </si>
  <si>
    <t>Received</t>
  </si>
  <si>
    <t>Repaid</t>
  </si>
  <si>
    <t>Cloaing</t>
  </si>
  <si>
    <t>Provision at the beginning of the year</t>
  </si>
  <si>
    <t>Less: provision for taxes at the end</t>
  </si>
  <si>
    <t>Less: Advance tax paid at the beginning</t>
  </si>
  <si>
    <t>Clear water</t>
  </si>
  <si>
    <t>Add: Income tax provision for the year</t>
  </si>
  <si>
    <t>Balance at the beginning of the year</t>
  </si>
  <si>
    <t>Less: Interest acc but not due at the beginning of the year</t>
  </si>
  <si>
    <t>Working Capital Term loan</t>
  </si>
  <si>
    <t xml:space="preserve">Less: </t>
  </si>
  <si>
    <t>Less: provision for taxes at the beginning</t>
  </si>
  <si>
    <t>Provision at the end of the year</t>
  </si>
  <si>
    <t>Increase/decrease in current liabilities</t>
  </si>
  <si>
    <t>Hire Purchae loan:</t>
  </si>
  <si>
    <t>Less: Advance tax paid at the end of the year</t>
  </si>
  <si>
    <t xml:space="preserve">ICICI Bank </t>
  </si>
  <si>
    <t>Direct taxes Paid</t>
  </si>
  <si>
    <t>SECURED LOANS</t>
  </si>
  <si>
    <t>Kotak Mahandra Prime:</t>
  </si>
  <si>
    <t>DIVIDEND PAID</t>
  </si>
  <si>
    <t>Less: Interest accrued and due</t>
  </si>
  <si>
    <t>Unclaimed Dividend at the beginning of the year</t>
  </si>
  <si>
    <t>Less: Balance at the beginning of the year</t>
  </si>
  <si>
    <t>Add: proposed dividend  for the year</t>
  </si>
  <si>
    <t>Increase/decrease in secured loans</t>
  </si>
  <si>
    <t>Less: Unclaimed Dividend at the end of the year</t>
  </si>
  <si>
    <t>UNSECURED LOANS</t>
  </si>
  <si>
    <t>Dividend Paid</t>
  </si>
  <si>
    <t>SHORT TERM LOAN</t>
  </si>
  <si>
    <t>INVENTORIES</t>
  </si>
  <si>
    <t>Increase/decrease in unsecured loans</t>
  </si>
  <si>
    <t>Cash Credit Account</t>
  </si>
  <si>
    <t>PURCHASE OF FIXED ASSETS</t>
  </si>
  <si>
    <t>Increase/decrease in inventory</t>
  </si>
  <si>
    <t>Bills Scheme</t>
  </si>
  <si>
    <t>Work in progress at the end</t>
  </si>
  <si>
    <t>SUNDRY DEBTORS</t>
  </si>
  <si>
    <t>UNSECURED LOAN</t>
  </si>
  <si>
    <t>Add: Additions as per gross block</t>
  </si>
  <si>
    <t>Trade Deposit</t>
  </si>
  <si>
    <t>Add: Provision for doubtful debts for the year</t>
  </si>
  <si>
    <t>Less: Work in progress at the beginning</t>
  </si>
  <si>
    <t>Others</t>
  </si>
  <si>
    <t>purchase of assets</t>
  </si>
  <si>
    <t>Less: Provision for doubtful debts written back during the year</t>
  </si>
  <si>
    <t>SALE PROCEEDS OF FIXED ASSETS</t>
  </si>
  <si>
    <t>Increase/decrease in Debtors</t>
  </si>
  <si>
    <t>Deductions from gross block during the year</t>
  </si>
  <si>
    <t>LOANS AND ADVANCES</t>
  </si>
  <si>
    <t>Less: Revalued cost on assets sold</t>
  </si>
  <si>
    <t>Add: Profit on sale of assets during the year</t>
  </si>
  <si>
    <t>Less: Depreciation withdrawn during the year</t>
  </si>
  <si>
    <t xml:space="preserve">            Less: Depreciation reserve on revalued cost</t>
  </si>
  <si>
    <t xml:space="preserve">                        withdrawn</t>
  </si>
  <si>
    <t xml:space="preserve">         : Loss on sale of assets during the year</t>
  </si>
  <si>
    <t>sale proceeds</t>
  </si>
  <si>
    <t>Increase/decrease in other loans and advances</t>
  </si>
  <si>
    <t>SALE PROCEEDS OF INVESTMENTS</t>
  </si>
  <si>
    <t>OTHER CURRENT ASSETS</t>
  </si>
  <si>
    <t>Add: Depreciation written back during the year</t>
  </si>
  <si>
    <t>Less: Interest acc on deposits at the end of the year</t>
  </si>
  <si>
    <t xml:space="preserve">       : Loss on sale of assets during the year</t>
  </si>
  <si>
    <t>Less: Interest acc on deposits at the beginning of the year</t>
  </si>
  <si>
    <t>Increase/decrease in other current assets</t>
  </si>
  <si>
    <t>INTEREST RECEIPTS</t>
  </si>
  <si>
    <t>INVESTMENTS</t>
  </si>
  <si>
    <t>Interest acc on deposits at the beginning of the year</t>
  </si>
  <si>
    <t>Add: Interest receipts</t>
  </si>
  <si>
    <t>Increase/decrease in investments</t>
  </si>
  <si>
    <t>Interest received</t>
  </si>
  <si>
    <t>PROVISIONS</t>
  </si>
  <si>
    <t>INTEREST PAYMENTS</t>
  </si>
  <si>
    <t>Interest acc and due at the beginning of the year</t>
  </si>
  <si>
    <t>Interest acc but not due at the beginning of the year</t>
  </si>
  <si>
    <t>Add: Interest charged in profit and loss account</t>
  </si>
  <si>
    <t>Less: Capital reserve - Land - Dove Real Easte</t>
  </si>
  <si>
    <t>Less:  Interest accrued and due</t>
  </si>
  <si>
    <t>Hire purchase loan:</t>
  </si>
  <si>
    <t>Fixed Deposit</t>
  </si>
  <si>
    <t>31.3.2013</t>
  </si>
  <si>
    <t>Letter of Credit</t>
  </si>
  <si>
    <t>Loan from MD &amp; Chairman</t>
  </si>
  <si>
    <t>Long term Provision</t>
  </si>
  <si>
    <t xml:space="preserve">           Interest acc and due at the end of the year</t>
  </si>
  <si>
    <t>Direct taxes paid</t>
  </si>
  <si>
    <t>Cash Flow from Operating Activities:</t>
  </si>
  <si>
    <t>Cash Flow from Investing  Activities:</t>
  </si>
  <si>
    <t xml:space="preserve">  Purchase of investment</t>
  </si>
  <si>
    <t xml:space="preserve">  Sale of Investment</t>
  </si>
  <si>
    <t xml:space="preserve"> Chartered Accountants</t>
  </si>
  <si>
    <t xml:space="preserve">  Firm Regd.No.001209S</t>
  </si>
  <si>
    <t xml:space="preserve">R.Doraiswami </t>
  </si>
  <si>
    <t xml:space="preserve">D. Lakshminarayanaswamy                                </t>
  </si>
  <si>
    <t>Sasirekha Vengatesh</t>
  </si>
  <si>
    <t xml:space="preserve">S.A.Subramanian                                                                                                                                             </t>
  </si>
  <si>
    <t>Internal Auditor</t>
  </si>
  <si>
    <t xml:space="preserve">Company Secretary                                                                                                                                                             </t>
  </si>
  <si>
    <t xml:space="preserve"> M.No.200464</t>
  </si>
  <si>
    <t>Place: Coimbatore</t>
  </si>
  <si>
    <t>Cash Flow from Financing  Activities:</t>
  </si>
  <si>
    <t>Net Cash Flow from Investing  Activities:</t>
  </si>
  <si>
    <t>Net Cash Flow from Financing  Activities:</t>
  </si>
  <si>
    <t>Net changes in  Cash and Cash Equivalents (1+2+3)</t>
  </si>
  <si>
    <t>31.3.2014</t>
  </si>
  <si>
    <t>31.03.2014</t>
  </si>
  <si>
    <t>Date: 14.08.2014</t>
  </si>
  <si>
    <t xml:space="preserve">CFO </t>
  </si>
  <si>
    <t xml:space="preserve"> Partner</t>
  </si>
  <si>
    <t>CASH FLOW WORKING FOR 31.03.2014</t>
  </si>
  <si>
    <t>CASH FLOW WORKING FOR 31.03.2013</t>
  </si>
  <si>
    <t>Less: Stock in trade Land</t>
  </si>
  <si>
    <t>31.3.2012</t>
  </si>
  <si>
    <t>Trade &amp; Other Payables</t>
  </si>
  <si>
    <t>Trade &amp; Other Receivables</t>
  </si>
  <si>
    <t>Long Term Borrowings</t>
  </si>
  <si>
    <t>Less:Balance at the beginning of the year</t>
  </si>
  <si>
    <t>Short Term Borrowings</t>
  </si>
  <si>
    <t xml:space="preserve">   - Stamp on Hand</t>
  </si>
  <si>
    <t>31.03.2015</t>
  </si>
  <si>
    <t>CASH FLOW STATEMENT FOR THE YEAR ENDED 31st MARCH 2015</t>
  </si>
  <si>
    <t>CASH FLOW WORKING FOR 31.03.2015</t>
  </si>
  <si>
    <t>31.3.2015</t>
  </si>
  <si>
    <t>G.Krishnakumar</t>
  </si>
  <si>
    <t>opg.</t>
  </si>
  <si>
    <t>clg.</t>
  </si>
  <si>
    <t>M.V. Jeganathan</t>
  </si>
  <si>
    <t>M.No. 214178</t>
  </si>
  <si>
    <t>Net Loss after Exceptional Items</t>
  </si>
  <si>
    <t>Cash Flow from operating activities before Exceptional Items</t>
  </si>
  <si>
    <t>Less: Capital Reserve - Land - Dove Real Estate</t>
  </si>
  <si>
    <t>Short term Provisions</t>
  </si>
  <si>
    <t>Exceptional items- Profit on conversion of land into stock-in-trade</t>
  </si>
  <si>
    <t xml:space="preserve">                                     - Compensation towards Employees</t>
  </si>
  <si>
    <t>Exceptional items - Profit on conversion of land into stock-in-trade</t>
  </si>
  <si>
    <t>Net Loss before Exceptional Items but after compensation to employees</t>
  </si>
  <si>
    <t>M.No 200464</t>
  </si>
  <si>
    <t>M.V.Jeganathan</t>
  </si>
  <si>
    <t>partner</t>
  </si>
  <si>
    <t>M.No 214178</t>
  </si>
  <si>
    <t>N. Jothikumar</t>
  </si>
  <si>
    <t>Director</t>
  </si>
  <si>
    <t>Date:  28.05.2015</t>
  </si>
  <si>
    <t>G. Krishnakumar</t>
  </si>
  <si>
    <t>CFO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</si>
</sst>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</font>
    <font>
      <u/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</cellStyleXfs>
  <cellXfs count="202">
    <xf numFmtId="0" fontId="0" fillId="0" borderId="0" xfId="0"/>
    <xf numFmtId="0" fontId="0" fillId="2" borderId="0" xfId="0" applyFill="1"/>
    <xf numFmtId="3" fontId="0" fillId="2" borderId="0" xfId="0" applyNumberFormat="1" applyFill="1"/>
    <xf numFmtId="37" fontId="0" fillId="2" borderId="5" xfId="0" applyNumberFormat="1" applyFill="1" applyBorder="1"/>
    <xf numFmtId="0" fontId="2" fillId="2" borderId="0" xfId="0" applyFont="1" applyFill="1"/>
    <xf numFmtId="1" fontId="0" fillId="2" borderId="0" xfId="0" applyNumberFormat="1" applyFill="1"/>
    <xf numFmtId="0" fontId="8" fillId="2" borderId="0" xfId="0" applyFont="1" applyFill="1"/>
    <xf numFmtId="0" fontId="0" fillId="2" borderId="0" xfId="0" applyFill="1" applyAlignment="1">
      <alignment horizontal="right"/>
    </xf>
    <xf numFmtId="3" fontId="0" fillId="2" borderId="0" xfId="0" applyNumberFormat="1" applyFill="1" applyBorder="1"/>
    <xf numFmtId="0" fontId="0" fillId="2" borderId="0" xfId="0" applyFill="1" applyBorder="1"/>
    <xf numFmtId="1" fontId="0" fillId="2" borderId="5" xfId="0" applyNumberFormat="1" applyFill="1" applyBorder="1"/>
    <xf numFmtId="3" fontId="0" fillId="2" borderId="5" xfId="0" applyNumberFormat="1" applyFill="1" applyBorder="1"/>
    <xf numFmtId="0" fontId="0" fillId="2" borderId="5" xfId="0" applyFill="1" applyBorder="1"/>
    <xf numFmtId="0" fontId="9" fillId="2" borderId="0" xfId="0" applyFont="1" applyFill="1"/>
    <xf numFmtId="0" fontId="0" fillId="2" borderId="6" xfId="0" applyFill="1" applyBorder="1"/>
    <xf numFmtId="41" fontId="0" fillId="2" borderId="0" xfId="0" applyNumberFormat="1" applyFill="1"/>
    <xf numFmtId="0" fontId="8" fillId="2" borderId="4" xfId="0" applyFont="1" applyFill="1" applyBorder="1"/>
    <xf numFmtId="3" fontId="0" fillId="2" borderId="6" xfId="0" applyNumberFormat="1" applyFill="1" applyBorder="1"/>
    <xf numFmtId="0" fontId="0" fillId="2" borderId="0" xfId="0" applyFill="1" applyBorder="1" applyAlignment="1">
      <alignment horizontal="right"/>
    </xf>
    <xf numFmtId="0" fontId="10" fillId="2" borderId="0" xfId="0" applyFont="1" applyFill="1"/>
    <xf numFmtId="164" fontId="12" fillId="2" borderId="7" xfId="1" applyNumberFormat="1" applyFont="1" applyFill="1" applyBorder="1"/>
    <xf numFmtId="3" fontId="0" fillId="2" borderId="0" xfId="0" applyNumberFormat="1" applyFill="1" applyAlignment="1">
      <alignment horizontal="right" vertical="top"/>
    </xf>
    <xf numFmtId="164" fontId="12" fillId="2" borderId="0" xfId="1" applyNumberFormat="1" applyFont="1" applyFill="1" applyBorder="1"/>
    <xf numFmtId="0" fontId="8" fillId="2" borderId="0" xfId="0" applyFont="1" applyFill="1" applyBorder="1"/>
    <xf numFmtId="164" fontId="8" fillId="2" borderId="7" xfId="1" applyNumberFormat="1" applyFont="1" applyFill="1" applyBorder="1"/>
    <xf numFmtId="1" fontId="0" fillId="2" borderId="0" xfId="0" applyNumberFormat="1" applyFill="1" applyBorder="1"/>
    <xf numFmtId="1" fontId="0" fillId="2" borderId="6" xfId="0" applyNumberFormat="1" applyFill="1" applyBorder="1"/>
    <xf numFmtId="0" fontId="4" fillId="2" borderId="0" xfId="0" applyFont="1" applyFill="1" applyAlignment="1">
      <alignment horizontal="left"/>
    </xf>
    <xf numFmtId="164" fontId="12" fillId="2" borderId="0" xfId="1" applyNumberFormat="1" applyFont="1" applyFill="1"/>
    <xf numFmtId="164" fontId="12" fillId="2" borderId="0" xfId="1" applyNumberFormat="1" applyFont="1" applyFill="1" applyBorder="1"/>
    <xf numFmtId="164" fontId="12" fillId="2" borderId="5" xfId="1" applyNumberFormat="1" applyFont="1" applyFill="1" applyBorder="1"/>
    <xf numFmtId="164" fontId="12" fillId="2" borderId="6" xfId="1" applyNumberFormat="1" applyFont="1" applyFill="1" applyBorder="1"/>
    <xf numFmtId="164" fontId="8" fillId="2" borderId="4" xfId="1" applyNumberFormat="1" applyFont="1" applyFill="1" applyBorder="1"/>
    <xf numFmtId="0" fontId="1" fillId="2" borderId="0" xfId="0" applyFont="1" applyFill="1"/>
    <xf numFmtId="164" fontId="0" fillId="2" borderId="0" xfId="0" applyNumberFormat="1" applyFill="1"/>
    <xf numFmtId="164" fontId="0" fillId="2" borderId="7" xfId="0" applyNumberFormat="1" applyFill="1" applyBorder="1"/>
    <xf numFmtId="164" fontId="12" fillId="2" borderId="4" xfId="1" applyNumberFormat="1" applyFont="1" applyFill="1" applyBorder="1"/>
    <xf numFmtId="3" fontId="5" fillId="2" borderId="7" xfId="2" applyNumberFormat="1" applyFill="1" applyBorder="1" applyAlignment="1" applyProtection="1"/>
    <xf numFmtId="0" fontId="5" fillId="2" borderId="6" xfId="2" applyFill="1" applyBorder="1" applyAlignment="1" applyProtection="1"/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2" borderId="6" xfId="0" applyNumberForma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12" fillId="2" borderId="0" xfId="1" applyNumberFormat="1" applyFont="1" applyFill="1" applyBorder="1" applyAlignment="1">
      <alignment horizontal="center"/>
    </xf>
    <xf numFmtId="0" fontId="13" fillId="2" borderId="0" xfId="0" applyFont="1" applyFill="1"/>
    <xf numFmtId="0" fontId="0" fillId="2" borderId="8" xfId="0" applyFill="1" applyBorder="1"/>
    <xf numFmtId="0" fontId="14" fillId="2" borderId="0" xfId="0" applyFont="1" applyFill="1"/>
    <xf numFmtId="1" fontId="14" fillId="2" borderId="0" xfId="0" applyNumberFormat="1" applyFont="1" applyFill="1"/>
    <xf numFmtId="0" fontId="17" fillId="2" borderId="0" xfId="0" applyFont="1" applyFill="1"/>
    <xf numFmtId="3" fontId="14" fillId="2" borderId="0" xfId="0" applyNumberFormat="1" applyFont="1" applyFill="1"/>
    <xf numFmtId="41" fontId="14" fillId="2" borderId="0" xfId="0" applyNumberFormat="1" applyFont="1" applyFill="1"/>
    <xf numFmtId="0" fontId="18" fillId="2" borderId="0" xfId="0" applyFont="1" applyFill="1"/>
    <xf numFmtId="41" fontId="14" fillId="2" borderId="6" xfId="0" applyNumberFormat="1" applyFont="1" applyFill="1" applyBorder="1"/>
    <xf numFmtId="0" fontId="4" fillId="2" borderId="0" xfId="0" applyFont="1" applyFill="1" applyAlignment="1">
      <alignment horizontal="left"/>
    </xf>
    <xf numFmtId="43" fontId="0" fillId="2" borderId="0" xfId="1" applyFont="1" applyFill="1"/>
    <xf numFmtId="0" fontId="15" fillId="2" borderId="0" xfId="0" applyFont="1" applyFill="1"/>
    <xf numFmtId="0" fontId="17" fillId="2" borderId="0" xfId="0" applyFont="1" applyFill="1" applyBorder="1"/>
    <xf numFmtId="0" fontId="14" fillId="2" borderId="0" xfId="0" applyFont="1" applyFill="1" applyBorder="1"/>
    <xf numFmtId="1" fontId="14" fillId="2" borderId="0" xfId="0" applyNumberFormat="1" applyFont="1" applyFill="1" applyBorder="1"/>
    <xf numFmtId="41" fontId="14" fillId="2" borderId="0" xfId="0" applyNumberFormat="1" applyFont="1" applyFill="1" applyBorder="1"/>
    <xf numFmtId="3" fontId="13" fillId="2" borderId="6" xfId="0" applyNumberFormat="1" applyFont="1" applyFill="1" applyBorder="1"/>
    <xf numFmtId="164" fontId="13" fillId="2" borderId="6" xfId="0" applyNumberFormat="1" applyFont="1" applyFill="1" applyBorder="1"/>
    <xf numFmtId="43" fontId="0" fillId="2" borderId="0" xfId="1" applyFont="1" applyFill="1" applyBorder="1"/>
    <xf numFmtId="43" fontId="0" fillId="2" borderId="5" xfId="1" applyFont="1" applyFill="1" applyBorder="1"/>
    <xf numFmtId="0" fontId="5" fillId="2" borderId="0" xfId="2" applyFill="1" applyBorder="1" applyAlignment="1" applyProtection="1"/>
    <xf numFmtId="43" fontId="14" fillId="2" borderId="6" xfId="1" applyFont="1" applyFill="1" applyBorder="1"/>
    <xf numFmtId="43" fontId="14" fillId="2" borderId="0" xfId="1" applyFont="1" applyFill="1" applyBorder="1"/>
    <xf numFmtId="43" fontId="14" fillId="2" borderId="0" xfId="1" applyFont="1" applyFill="1"/>
    <xf numFmtId="43" fontId="14" fillId="2" borderId="5" xfId="1" applyFont="1" applyFill="1" applyBorder="1"/>
    <xf numFmtId="43" fontId="0" fillId="2" borderId="6" xfId="1" applyFont="1" applyFill="1" applyBorder="1"/>
    <xf numFmtId="164" fontId="14" fillId="2" borderId="0" xfId="1" applyNumberFormat="1" applyFont="1" applyFill="1"/>
    <xf numFmtId="164" fontId="14" fillId="2" borderId="0" xfId="0" applyNumberFormat="1" applyFont="1" applyFill="1"/>
    <xf numFmtId="164" fontId="14" fillId="2" borderId="0" xfId="1" applyNumberFormat="1" applyFont="1" applyFill="1" applyBorder="1"/>
    <xf numFmtId="164" fontId="19" fillId="2" borderId="4" xfId="1" applyNumberFormat="1" applyFont="1" applyFill="1" applyBorder="1"/>
    <xf numFmtId="0" fontId="19" fillId="2" borderId="4" xfId="0" applyFont="1" applyFill="1" applyBorder="1"/>
    <xf numFmtId="164" fontId="14" fillId="2" borderId="5" xfId="1" applyNumberFormat="1" applyFont="1" applyFill="1" applyBorder="1"/>
    <xf numFmtId="164" fontId="14" fillId="2" borderId="4" xfId="1" applyNumberFormat="1" applyFont="1" applyFill="1" applyBorder="1"/>
    <xf numFmtId="164" fontId="19" fillId="2" borderId="0" xfId="0" applyNumberFormat="1" applyFont="1" applyFill="1" applyAlignment="1">
      <alignment horizontal="left"/>
    </xf>
    <xf numFmtId="164" fontId="14" fillId="2" borderId="6" xfId="0" applyNumberFormat="1" applyFont="1" applyFill="1" applyBorder="1"/>
    <xf numFmtId="164" fontId="0" fillId="0" borderId="0" xfId="0" applyNumberFormat="1"/>
    <xf numFmtId="0" fontId="6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 horizontal="right"/>
    </xf>
    <xf numFmtId="37" fontId="16" fillId="0" borderId="0" xfId="0" applyNumberFormat="1" applyFont="1" applyFill="1"/>
    <xf numFmtId="164" fontId="16" fillId="0" borderId="0" xfId="0" applyNumberFormat="1" applyFont="1" applyFill="1"/>
    <xf numFmtId="164" fontId="16" fillId="0" borderId="5" xfId="0" applyNumberFormat="1" applyFont="1" applyFill="1" applyBorder="1"/>
    <xf numFmtId="37" fontId="15" fillId="0" borderId="0" xfId="0" applyNumberFormat="1" applyFont="1" applyFill="1"/>
    <xf numFmtId="164" fontId="6" fillId="0" borderId="5" xfId="1" applyNumberFormat="1" applyFont="1" applyFill="1" applyBorder="1" applyAlignment="1">
      <alignment vertical="top"/>
    </xf>
    <xf numFmtId="37" fontId="6" fillId="0" borderId="6" xfId="0" applyNumberFormat="1" applyFont="1" applyFill="1" applyBorder="1"/>
    <xf numFmtId="37" fontId="16" fillId="0" borderId="0" xfId="0" applyNumberFormat="1" applyFont="1" applyFill="1" applyBorder="1"/>
    <xf numFmtId="43" fontId="16" fillId="0" borderId="0" xfId="1" applyFont="1" applyFill="1" applyBorder="1"/>
    <xf numFmtId="164" fontId="16" fillId="0" borderId="5" xfId="1" applyNumberFormat="1" applyFont="1" applyFill="1" applyBorder="1"/>
    <xf numFmtId="0" fontId="6" fillId="0" borderId="0" xfId="0" applyFont="1" applyFill="1"/>
    <xf numFmtId="164" fontId="11" fillId="0" borderId="0" xfId="1" applyNumberFormat="1" applyFont="1" applyFill="1"/>
    <xf numFmtId="164" fontId="6" fillId="0" borderId="0" xfId="2" applyNumberFormat="1" applyFont="1" applyFill="1" applyAlignment="1" applyProtection="1"/>
    <xf numFmtId="164" fontId="6" fillId="0" borderId="0" xfId="1" applyNumberFormat="1" applyFont="1" applyFill="1"/>
    <xf numFmtId="164" fontId="6" fillId="0" borderId="0" xfId="1" applyNumberFormat="1" applyFont="1" applyFill="1" applyAlignment="1" applyProtection="1"/>
    <xf numFmtId="43" fontId="16" fillId="0" borderId="0" xfId="1" applyFont="1" applyFill="1"/>
    <xf numFmtId="164" fontId="16" fillId="0" borderId="0" xfId="1" applyNumberFormat="1" applyFont="1" applyFill="1"/>
    <xf numFmtId="164" fontId="6" fillId="0" borderId="6" xfId="0" applyNumberFormat="1" applyFont="1" applyFill="1" applyBorder="1"/>
    <xf numFmtId="164" fontId="6" fillId="0" borderId="0" xfId="0" applyNumberFormat="1" applyFont="1" applyFill="1"/>
    <xf numFmtId="37" fontId="16" fillId="0" borderId="9" xfId="0" applyNumberFormat="1" applyFont="1" applyFill="1" applyBorder="1"/>
    <xf numFmtId="43" fontId="15" fillId="0" borderId="0" xfId="1" applyFont="1" applyFill="1"/>
    <xf numFmtId="1" fontId="16" fillId="0" borderId="0" xfId="3" applyNumberFormat="1" applyFont="1" applyFill="1" applyBorder="1" applyAlignment="1">
      <alignment horizontal="left"/>
    </xf>
    <xf numFmtId="1" fontId="15" fillId="0" borderId="0" xfId="3" applyNumberFormat="1" applyFont="1" applyFill="1" applyBorder="1" applyAlignment="1"/>
    <xf numFmtId="1" fontId="16" fillId="0" borderId="0" xfId="3" applyNumberFormat="1" applyFont="1" applyFill="1" applyBorder="1"/>
    <xf numFmtId="1" fontId="15" fillId="0" borderId="0" xfId="3" applyNumberFormat="1" applyFont="1" applyFill="1" applyBorder="1" applyAlignment="1">
      <alignment horizontal="left"/>
    </xf>
    <xf numFmtId="1" fontId="15" fillId="0" borderId="0" xfId="3" applyNumberFormat="1" applyFont="1" applyFill="1" applyBorder="1"/>
    <xf numFmtId="1" fontId="15" fillId="0" borderId="0" xfId="3" applyNumberFormat="1" applyFont="1" applyFill="1" applyBorder="1" applyAlignment="1">
      <alignment horizontal="right"/>
    </xf>
    <xf numFmtId="37" fontId="16" fillId="0" borderId="0" xfId="0" applyNumberFormat="1" applyFont="1" applyFill="1" applyAlignment="1">
      <alignment horizontal="left"/>
    </xf>
    <xf numFmtId="1" fontId="16" fillId="0" borderId="0" xfId="3" applyNumberFormat="1" applyFont="1" applyFill="1" applyBorder="1" applyAlignment="1"/>
    <xf numFmtId="1" fontId="16" fillId="0" borderId="0" xfId="3" applyNumberFormat="1" applyFont="1" applyFill="1" applyBorder="1" applyAlignment="1" applyProtection="1">
      <alignment horizontal="right" vertical="center"/>
    </xf>
    <xf numFmtId="1" fontId="15" fillId="0" borderId="0" xfId="3" applyNumberFormat="1" applyFont="1" applyFill="1" applyBorder="1" applyAlignment="1">
      <alignment vertical="center"/>
    </xf>
    <xf numFmtId="1" fontId="16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2" fillId="0" borderId="0" xfId="0" applyFont="1" applyFill="1"/>
    <xf numFmtId="0" fontId="9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1" fontId="16" fillId="0" borderId="0" xfId="0" applyNumberFormat="1" applyFont="1" applyFill="1"/>
    <xf numFmtId="0" fontId="11" fillId="0" borderId="0" xfId="0" applyFont="1" applyFill="1"/>
    <xf numFmtId="3" fontId="16" fillId="0" borderId="0" xfId="0" applyNumberFormat="1" applyFont="1" applyFill="1" applyBorder="1"/>
    <xf numFmtId="0" fontId="16" fillId="0" borderId="0" xfId="0" applyFont="1" applyFill="1" applyBorder="1"/>
    <xf numFmtId="1" fontId="16" fillId="0" borderId="5" xfId="0" applyNumberFormat="1" applyFont="1" applyFill="1" applyBorder="1"/>
    <xf numFmtId="1" fontId="16" fillId="0" borderId="0" xfId="0" applyNumberFormat="1" applyFont="1" applyFill="1" applyBorder="1"/>
    <xf numFmtId="3" fontId="16" fillId="0" borderId="5" xfId="0" applyNumberFormat="1" applyFont="1" applyFill="1" applyBorder="1"/>
    <xf numFmtId="43" fontId="16" fillId="0" borderId="5" xfId="1" applyFont="1" applyFill="1" applyBorder="1"/>
    <xf numFmtId="1" fontId="16" fillId="0" borderId="6" xfId="0" applyNumberFormat="1" applyFont="1" applyFill="1" applyBorder="1"/>
    <xf numFmtId="37" fontId="16" fillId="0" borderId="5" xfId="0" applyNumberFormat="1" applyFont="1" applyFill="1" applyBorder="1"/>
    <xf numFmtId="3" fontId="20" fillId="0" borderId="7" xfId="2" applyNumberFormat="1" applyFont="1" applyFill="1" applyBorder="1" applyAlignment="1" applyProtection="1"/>
    <xf numFmtId="0" fontId="15" fillId="0" borderId="0" xfId="0" applyFont="1" applyFill="1"/>
    <xf numFmtId="41" fontId="16" fillId="0" borderId="0" xfId="0" applyNumberFormat="1" applyFont="1" applyFill="1"/>
    <xf numFmtId="164" fontId="16" fillId="0" borderId="0" xfId="1" applyNumberFormat="1" applyFont="1" applyFill="1" applyBorder="1"/>
    <xf numFmtId="41" fontId="16" fillId="0" borderId="6" xfId="0" applyNumberFormat="1" applyFont="1" applyFill="1" applyBorder="1"/>
    <xf numFmtId="41" fontId="16" fillId="0" borderId="0" xfId="0" applyNumberFormat="1" applyFont="1" applyFill="1" applyBorder="1"/>
    <xf numFmtId="164" fontId="11" fillId="0" borderId="4" xfId="1" applyNumberFormat="1" applyFont="1" applyFill="1" applyBorder="1"/>
    <xf numFmtId="0" fontId="11" fillId="0" borderId="4" xfId="0" applyFont="1" applyFill="1" applyBorder="1"/>
    <xf numFmtId="164" fontId="16" fillId="0" borderId="7" xfId="0" applyNumberFormat="1" applyFont="1" applyFill="1" applyBorder="1"/>
    <xf numFmtId="0" fontId="6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3" fontId="16" fillId="0" borderId="6" xfId="0" applyNumberFormat="1" applyFont="1" applyFill="1" applyBorder="1"/>
    <xf numFmtId="164" fontId="16" fillId="0" borderId="6" xfId="0" applyNumberFormat="1" applyFont="1" applyFill="1" applyBorder="1"/>
    <xf numFmtId="0" fontId="16" fillId="0" borderId="0" xfId="0" applyFont="1" applyFill="1" applyBorder="1" applyAlignment="1">
      <alignment horizontal="right"/>
    </xf>
    <xf numFmtId="43" fontId="16" fillId="0" borderId="6" xfId="1" applyFont="1" applyFill="1" applyBorder="1"/>
    <xf numFmtId="0" fontId="16" fillId="0" borderId="0" xfId="0" applyFont="1" applyFill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0" fontId="16" fillId="0" borderId="5" xfId="0" applyFont="1" applyFill="1" applyBorder="1"/>
    <xf numFmtId="0" fontId="20" fillId="0" borderId="6" xfId="2" applyFont="1" applyFill="1" applyBorder="1" applyAlignment="1" applyProtection="1"/>
    <xf numFmtId="0" fontId="20" fillId="0" borderId="0" xfId="2" applyFont="1" applyFill="1" applyBorder="1" applyAlignment="1" applyProtection="1"/>
    <xf numFmtId="164" fontId="16" fillId="0" borderId="4" xfId="1" applyNumberFormat="1" applyFont="1" applyFill="1" applyBorder="1"/>
    <xf numFmtId="164" fontId="16" fillId="0" borderId="7" xfId="1" applyNumberFormat="1" applyFont="1" applyFill="1" applyBorder="1"/>
    <xf numFmtId="0" fontId="11" fillId="0" borderId="0" xfId="0" applyFont="1" applyFill="1" applyBorder="1"/>
    <xf numFmtId="164" fontId="11" fillId="0" borderId="7" xfId="1" applyNumberFormat="1" applyFont="1" applyFill="1" applyBorder="1"/>
    <xf numFmtId="164" fontId="16" fillId="0" borderId="6" xfId="1" applyNumberFormat="1" applyFont="1" applyFill="1" applyBorder="1"/>
    <xf numFmtId="0" fontId="16" fillId="0" borderId="6" xfId="0" applyFont="1" applyFill="1" applyBorder="1"/>
    <xf numFmtId="0" fontId="16" fillId="0" borderId="8" xfId="0" applyFont="1" applyFill="1" applyBorder="1"/>
    <xf numFmtId="0" fontId="11" fillId="0" borderId="0" xfId="0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164" fontId="15" fillId="0" borderId="0" xfId="1" applyNumberFormat="1" applyFont="1" applyFill="1"/>
    <xf numFmtId="164" fontId="15" fillId="0" borderId="5" xfId="1" applyNumberFormat="1" applyFont="1" applyFill="1" applyBorder="1"/>
    <xf numFmtId="164" fontId="15" fillId="0" borderId="0" xfId="0" applyNumberFormat="1" applyFont="1" applyFill="1"/>
    <xf numFmtId="0" fontId="16" fillId="0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37" fontId="11" fillId="0" borderId="6" xfId="0" applyNumberFormat="1" applyFont="1" applyFill="1" applyBorder="1"/>
    <xf numFmtId="164" fontId="11" fillId="0" borderId="6" xfId="0" applyNumberFormat="1" applyFont="1" applyFill="1" applyBorder="1"/>
    <xf numFmtId="164" fontId="11" fillId="0" borderId="0" xfId="0" applyNumberFormat="1" applyFont="1" applyFill="1"/>
    <xf numFmtId="43" fontId="16" fillId="0" borderId="0" xfId="0" applyNumberFormat="1" applyFont="1" applyFill="1"/>
    <xf numFmtId="0" fontId="16" fillId="0" borderId="1" xfId="0" applyFont="1" applyFill="1" applyBorder="1"/>
    <xf numFmtId="164" fontId="15" fillId="0" borderId="9" xfId="1" applyNumberFormat="1" applyFont="1" applyFill="1" applyBorder="1"/>
    <xf numFmtId="0" fontId="16" fillId="0" borderId="2" xfId="0" applyFont="1" applyFill="1" applyBorder="1"/>
    <xf numFmtId="164" fontId="15" fillId="0" borderId="0" xfId="1" applyNumberFormat="1" applyFont="1" applyFill="1" applyBorder="1"/>
    <xf numFmtId="0" fontId="16" fillId="0" borderId="3" xfId="0" applyFont="1" applyFill="1" applyBorder="1"/>
    <xf numFmtId="37" fontId="11" fillId="0" borderId="4" xfId="0" applyNumberFormat="1" applyFont="1" applyFill="1" applyBorder="1"/>
    <xf numFmtId="37" fontId="15" fillId="0" borderId="0" xfId="0" applyNumberFormat="1" applyFont="1" applyFill="1" applyAlignment="1"/>
    <xf numFmtId="3" fontId="16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" fontId="16" fillId="0" borderId="0" xfId="3" applyNumberFormat="1" applyFont="1" applyFill="1" applyBorder="1" applyAlignment="1">
      <alignment horizontal="right"/>
    </xf>
    <xf numFmtId="1" fontId="15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right"/>
    </xf>
    <xf numFmtId="164" fontId="11" fillId="0" borderId="4" xfId="0" applyNumberFormat="1" applyFont="1" applyFill="1" applyBorder="1"/>
    <xf numFmtId="37" fontId="16" fillId="0" borderId="11" xfId="0" applyNumberFormat="1" applyFont="1" applyFill="1" applyBorder="1"/>
    <xf numFmtId="37" fontId="16" fillId="0" borderId="12" xfId="0" applyNumberFormat="1" applyFont="1" applyFill="1" applyBorder="1"/>
    <xf numFmtId="37" fontId="6" fillId="0" borderId="10" xfId="0" applyNumberFormat="1" applyFont="1" applyFill="1" applyBorder="1"/>
    <xf numFmtId="37" fontId="16" fillId="3" borderId="12" xfId="0" applyNumberFormat="1" applyFont="1" applyFill="1" applyBorder="1"/>
    <xf numFmtId="164" fontId="6" fillId="0" borderId="0" xfId="1" applyNumberFormat="1" applyFont="1" applyFill="1" applyBorder="1" applyAlignment="1">
      <alignment vertical="top"/>
    </xf>
    <xf numFmtId="165" fontId="16" fillId="0" borderId="0" xfId="1" applyNumberFormat="1" applyFont="1" applyFill="1"/>
    <xf numFmtId="0" fontId="22" fillId="4" borderId="0" xfId="0" applyFont="1" applyFill="1"/>
    <xf numFmtId="164" fontId="23" fillId="4" borderId="0" xfId="1" applyNumberFormat="1" applyFont="1" applyFill="1"/>
    <xf numFmtId="164" fontId="22" fillId="4" borderId="0" xfId="2" applyNumberFormat="1" applyFont="1" applyFill="1" applyAlignment="1" applyProtection="1"/>
    <xf numFmtId="37" fontId="21" fillId="4" borderId="0" xfId="0" applyNumberFormat="1" applyFont="1" applyFill="1"/>
    <xf numFmtId="0" fontId="11" fillId="0" borderId="0" xfId="0" applyFont="1" applyFill="1" applyAlignment="1">
      <alignment horizontal="center"/>
    </xf>
    <xf numFmtId="1" fontId="16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right" vertical="center"/>
    </xf>
    <xf numFmtId="1" fontId="15" fillId="0" borderId="0" xfId="3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" fontId="15" fillId="0" borderId="0" xfId="3" applyNumberFormat="1" applyFont="1" applyFill="1" applyBorder="1" applyAlignment="1">
      <alignment horizontal="right" vertical="center"/>
    </xf>
  </cellXfs>
  <cellStyles count="5">
    <cellStyle name="Comma" xfId="1" builtinId="3"/>
    <cellStyle name="Excel Built-in Normal" xfId="4"/>
    <cellStyle name="Hyperlink" xfId="2" builtinId="8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Cld/BS%20&amp;%20STI/SRMC%20BS%20&amp;%20PL%2027.05.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_2"/>
      <sheetName val="PL_2"/>
      <sheetName val="LIA NOTES_2"/>
      <sheetName val="ASSETS NOTES_2"/>
      <sheetName val="F ASSETS"/>
      <sheetName val="Liabilities"/>
      <sheetName val="PL NOTES_2"/>
      <sheetName val="Sheet1"/>
      <sheetName val="Assets"/>
    </sheetNames>
    <sheetDataSet>
      <sheetData sheetId="0"/>
      <sheetData sheetId="1">
        <row r="23">
          <cell r="E23">
            <v>-35004726.960000008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-@sum(+Sheet1!S24)" TargetMode="External"/><Relationship Id="rId1" Type="http://schemas.openxmlformats.org/officeDocument/2006/relationships/hyperlink" Target="mailto:=-@sum(+Sheet1!S24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-@sum(+P36-P37)" TargetMode="External"/><Relationship Id="rId1" Type="http://schemas.openxmlformats.org/officeDocument/2006/relationships/hyperlink" Target="mailto:=-@sum(+G12+G13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-@sum(+P36-P37)" TargetMode="External"/><Relationship Id="rId1" Type="http://schemas.openxmlformats.org/officeDocument/2006/relationships/hyperlink" Target="mailto:=-@sum(+G12+G13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=-@sum(+P36-P37)" TargetMode="External"/><Relationship Id="rId1" Type="http://schemas.openxmlformats.org/officeDocument/2006/relationships/hyperlink" Target="mailto:=-@sum(+G12+G13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=-@sum(+Sheet1!S24)" TargetMode="External"/><Relationship Id="rId1" Type="http://schemas.openxmlformats.org/officeDocument/2006/relationships/hyperlink" Target="mailto:=-@sum(+Sheet1!S24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view="pageBreakPreview" topLeftCell="A55" zoomScaleSheetLayoutView="100" workbookViewId="0">
      <selection activeCell="B73" sqref="B73"/>
    </sheetView>
  </sheetViews>
  <sheetFormatPr defaultColWidth="24.28515625" defaultRowHeight="15"/>
  <cols>
    <col min="1" max="1" width="3.7109375" style="119" customWidth="1"/>
    <col min="2" max="2" width="76.140625" style="119" customWidth="1"/>
    <col min="3" max="3" width="17.7109375" style="119" customWidth="1"/>
    <col min="4" max="4" width="17.85546875" style="86" customWidth="1"/>
    <col min="5" max="5" width="15.28515625" style="83" hidden="1" customWidth="1"/>
    <col min="6" max="6" width="1.85546875" style="119" customWidth="1"/>
    <col min="7" max="16384" width="24.28515625" style="119"/>
  </cols>
  <sheetData>
    <row r="1" spans="1:7">
      <c r="A1" s="194" t="s">
        <v>32</v>
      </c>
      <c r="B1" s="194"/>
      <c r="C1" s="194"/>
      <c r="D1" s="194"/>
      <c r="E1" s="194"/>
    </row>
    <row r="2" spans="1:7" ht="10.5" customHeight="1"/>
    <row r="3" spans="1:7">
      <c r="A3" s="194" t="s">
        <v>171</v>
      </c>
      <c r="B3" s="194"/>
      <c r="C3" s="194"/>
      <c r="D3" s="194"/>
      <c r="E3" s="194"/>
    </row>
    <row r="4" spans="1:7" ht="12" customHeight="1">
      <c r="A4" s="158"/>
      <c r="B4" s="158"/>
      <c r="C4" s="158"/>
      <c r="D4" s="158"/>
      <c r="E4" s="81"/>
    </row>
    <row r="5" spans="1:7">
      <c r="C5" s="159" t="s">
        <v>0</v>
      </c>
      <c r="D5" s="159" t="s">
        <v>0</v>
      </c>
      <c r="E5" s="82" t="s">
        <v>0</v>
      </c>
    </row>
    <row r="6" spans="1:7">
      <c r="C6" s="159" t="s">
        <v>170</v>
      </c>
      <c r="D6" s="159" t="s">
        <v>156</v>
      </c>
      <c r="E6" s="82" t="s">
        <v>35</v>
      </c>
    </row>
    <row r="7" spans="1:7" ht="11.25" customHeight="1">
      <c r="C7" s="159" t="s">
        <v>1</v>
      </c>
      <c r="D7" s="159" t="s">
        <v>1</v>
      </c>
      <c r="E7" s="82" t="s">
        <v>1</v>
      </c>
    </row>
    <row r="8" spans="1:7" ht="19.5" customHeight="1">
      <c r="A8" s="119" t="s">
        <v>2</v>
      </c>
      <c r="B8" s="132" t="s">
        <v>137</v>
      </c>
      <c r="C8" s="132"/>
    </row>
    <row r="9" spans="1:7">
      <c r="B9" s="119" t="s">
        <v>186</v>
      </c>
      <c r="C9" s="160">
        <v>-16444628</v>
      </c>
      <c r="D9" s="98">
        <f>+[1]PL_2!$E$23</f>
        <v>-35004726.960000008</v>
      </c>
      <c r="E9" s="84">
        <v>-37375414</v>
      </c>
      <c r="G9" s="84">
        <f>+D9+D27</f>
        <v>-45972226.960000008</v>
      </c>
    </row>
    <row r="10" spans="1:7" ht="12.75" customHeight="1">
      <c r="C10" s="160"/>
      <c r="D10" s="83"/>
    </row>
    <row r="11" spans="1:7">
      <c r="B11" s="119" t="s">
        <v>3</v>
      </c>
      <c r="C11" s="160"/>
      <c r="D11" s="83"/>
    </row>
    <row r="12" spans="1:7">
      <c r="B12" s="119" t="s">
        <v>4</v>
      </c>
      <c r="C12" s="160">
        <v>12338637</v>
      </c>
      <c r="D12" s="83">
        <v>10213362</v>
      </c>
      <c r="E12" s="83">
        <v>9182249</v>
      </c>
    </row>
    <row r="13" spans="1:7">
      <c r="B13" s="119" t="s">
        <v>5</v>
      </c>
      <c r="C13" s="160">
        <f>'Working 31.03.15'!O81</f>
        <v>39666842</v>
      </c>
      <c r="D13" s="83">
        <f>+'Working 31.03.14'!O81</f>
        <v>29849963</v>
      </c>
      <c r="E13" s="83">
        <f>+'Working 31.03.13'!O67</f>
        <v>35533024</v>
      </c>
    </row>
    <row r="14" spans="1:7">
      <c r="B14" s="119" t="s">
        <v>6</v>
      </c>
      <c r="C14" s="160">
        <f>'Working 31.03.15'!P51</f>
        <v>839437</v>
      </c>
      <c r="D14" s="84">
        <f>-'Working 31.03.14'!P45</f>
        <v>-15732807</v>
      </c>
      <c r="E14" s="84">
        <f>-'Working 31.03.13'!P31</f>
        <v>-12623147</v>
      </c>
    </row>
    <row r="15" spans="1:7">
      <c r="B15" s="119" t="s">
        <v>33</v>
      </c>
      <c r="C15" s="160">
        <v>-896430</v>
      </c>
      <c r="D15" s="84">
        <v>-836000</v>
      </c>
      <c r="E15" s="84">
        <v>-1181053</v>
      </c>
    </row>
    <row r="16" spans="1:7">
      <c r="B16" s="119" t="s">
        <v>7</v>
      </c>
      <c r="C16" s="161">
        <f>-'Working 31.03.15'!P71</f>
        <v>-729485</v>
      </c>
      <c r="D16" s="85">
        <f>-'Working 31.03.14'!P71</f>
        <v>-864741</v>
      </c>
      <c r="E16" s="85">
        <f>-'Working 31.03.13'!P57</f>
        <v>-1413719</v>
      </c>
    </row>
    <row r="17" spans="1:7">
      <c r="B17" s="132" t="s">
        <v>8</v>
      </c>
      <c r="C17" s="162">
        <f>SUM(C8:C16)</f>
        <v>34774373</v>
      </c>
      <c r="D17" s="84">
        <f>SUM(D8:D16)</f>
        <v>-12374949.960000008</v>
      </c>
      <c r="E17" s="84">
        <f>SUM(E8:E16)</f>
        <v>-7878060</v>
      </c>
      <c r="F17" s="120"/>
    </row>
    <row r="18" spans="1:7">
      <c r="C18" s="160"/>
      <c r="D18" s="83"/>
      <c r="G18" s="84">
        <f>D9+D27</f>
        <v>-45972226.960000008</v>
      </c>
    </row>
    <row r="19" spans="1:7">
      <c r="B19" s="119" t="s">
        <v>9</v>
      </c>
      <c r="C19" s="160"/>
      <c r="D19" s="83"/>
    </row>
    <row r="20" spans="1:7">
      <c r="B20" s="119" t="s">
        <v>10</v>
      </c>
      <c r="C20" s="160">
        <f>'Working 31.03.15'!I61</f>
        <v>28573024</v>
      </c>
      <c r="D20" s="83">
        <f>+'Working 31.03.14'!I60</f>
        <v>18740698</v>
      </c>
      <c r="E20" s="83">
        <f>+'Working 31.03.13'!I59</f>
        <v>7677563</v>
      </c>
    </row>
    <row r="21" spans="1:7">
      <c r="B21" s="119" t="s">
        <v>11</v>
      </c>
      <c r="C21" s="160">
        <f>-'Working 31.03.15'!G36</f>
        <v>-18492775</v>
      </c>
      <c r="D21" s="83">
        <f>-'Working 31.03.14'!G36</f>
        <v>-5168070</v>
      </c>
      <c r="E21" s="83">
        <f>-'Working 31.03.13'!G36</f>
        <v>24602064</v>
      </c>
    </row>
    <row r="22" spans="1:7">
      <c r="B22" s="163" t="s">
        <v>12</v>
      </c>
      <c r="C22" s="164">
        <f>-'Working 31.03.15'!F71</f>
        <v>1495860</v>
      </c>
      <c r="D22" s="83">
        <f>-'Working 31.03.14'!F71</f>
        <v>-1495860</v>
      </c>
      <c r="E22" s="83">
        <f>+'Working 31.03.13'!F70</f>
        <v>1620</v>
      </c>
    </row>
    <row r="23" spans="1:7">
      <c r="B23" s="119" t="s">
        <v>13</v>
      </c>
      <c r="C23" s="160">
        <f>+'Working 31.03.15'!Q14</f>
        <v>-30825160</v>
      </c>
      <c r="D23" s="83">
        <f>+'Working 31.03.14'!Q14</f>
        <v>52075637</v>
      </c>
      <c r="E23" s="83">
        <f>+'Working 31.03.13'!Q14</f>
        <v>3160905</v>
      </c>
    </row>
    <row r="24" spans="1:7">
      <c r="B24" s="132" t="s">
        <v>14</v>
      </c>
      <c r="C24" s="86">
        <f>SUM(C17:C23)</f>
        <v>15525322</v>
      </c>
      <c r="D24" s="86">
        <f>SUM(D17:D23)</f>
        <v>51777455.039999992</v>
      </c>
      <c r="E24" s="83">
        <f>SUM(E17:E23)</f>
        <v>27564092</v>
      </c>
    </row>
    <row r="25" spans="1:7">
      <c r="B25" s="119" t="s">
        <v>136</v>
      </c>
      <c r="C25" s="160">
        <f>-'Working 31.03.15'!G14</f>
        <v>-350247</v>
      </c>
      <c r="D25" s="84">
        <f>-'Working 31.03.14'!G14</f>
        <v>-771175</v>
      </c>
      <c r="E25" s="84">
        <f>+'Working 31.03.13'!G14</f>
        <v>-4394354</v>
      </c>
      <c r="F25" s="120"/>
    </row>
    <row r="26" spans="1:7">
      <c r="B26" s="132" t="s">
        <v>180</v>
      </c>
      <c r="C26" s="86">
        <f>SUM(C24:C25)</f>
        <v>15175075</v>
      </c>
      <c r="D26" s="86">
        <f>SUM(D24:D25)</f>
        <v>51006280.039999992</v>
      </c>
      <c r="E26" s="83">
        <f>SUM(E24:E25)</f>
        <v>23169738</v>
      </c>
    </row>
    <row r="27" spans="1:7">
      <c r="B27" s="119" t="s">
        <v>183</v>
      </c>
      <c r="C27" s="160">
        <v>-68242005</v>
      </c>
      <c r="D27" s="188">
        <v>-10967500</v>
      </c>
      <c r="E27" s="87">
        <v>0</v>
      </c>
    </row>
    <row r="28" spans="1:7" ht="15.75" thickBot="1">
      <c r="B28" s="132" t="s">
        <v>15</v>
      </c>
      <c r="C28" s="165">
        <f>+C26+C27</f>
        <v>-53066930</v>
      </c>
      <c r="D28" s="88">
        <f>+D26+D27</f>
        <v>40038780.039999992</v>
      </c>
      <c r="E28" s="88">
        <f>+E26+E27</f>
        <v>23169738</v>
      </c>
      <c r="F28" s="120"/>
    </row>
    <row r="29" spans="1:7" ht="15.75" thickTop="1">
      <c r="A29" s="119" t="s">
        <v>16</v>
      </c>
      <c r="B29" s="132" t="s">
        <v>138</v>
      </c>
      <c r="C29" s="160"/>
      <c r="D29" s="83"/>
    </row>
    <row r="30" spans="1:7">
      <c r="B30" s="119" t="s">
        <v>17</v>
      </c>
      <c r="C30" s="160">
        <f>'Working 31.03.15'!P38</f>
        <v>-12988514</v>
      </c>
      <c r="D30" s="84">
        <f>+'Working 31.03.14'!P38</f>
        <v>-1133252</v>
      </c>
      <c r="E30" s="84">
        <f>-'Working 31.03.13'!P24</f>
        <v>-6281764</v>
      </c>
    </row>
    <row r="31" spans="1:7">
      <c r="B31" s="119" t="s">
        <v>18</v>
      </c>
      <c r="C31" s="160">
        <f>'Working 31.03.15'!P74</f>
        <v>830447</v>
      </c>
      <c r="D31" s="83">
        <f>+'Working 31.03.14'!P74</f>
        <v>703303</v>
      </c>
      <c r="E31" s="83">
        <f>+'Working 31.03.13'!P60</f>
        <v>1995563</v>
      </c>
    </row>
    <row r="32" spans="1:7">
      <c r="B32" s="119" t="s">
        <v>19</v>
      </c>
      <c r="C32" s="160">
        <f>'Working 31.03.15'!P52</f>
        <v>3626150</v>
      </c>
      <c r="D32" s="83">
        <f>+'Working 31.03.14'!P52</f>
        <v>36486599</v>
      </c>
      <c r="E32" s="83">
        <v>24287894</v>
      </c>
    </row>
    <row r="33" spans="1:9">
      <c r="B33" s="119" t="s">
        <v>36</v>
      </c>
      <c r="C33" s="160">
        <v>896430</v>
      </c>
      <c r="D33" s="89">
        <v>836000</v>
      </c>
      <c r="E33" s="89">
        <v>1181053</v>
      </c>
    </row>
    <row r="34" spans="1:9">
      <c r="B34" s="119" t="s">
        <v>140</v>
      </c>
      <c r="C34" s="160">
        <f>'Working 31.03.15'!F79</f>
        <v>0</v>
      </c>
      <c r="D34" s="130">
        <f>+'Working 31.03.14'!F79</f>
        <v>-100000</v>
      </c>
      <c r="E34" s="91">
        <f>-'Working 31.03.13'!F78</f>
        <v>3575000</v>
      </c>
    </row>
    <row r="35" spans="1:9" ht="15.75" thickBot="1">
      <c r="B35" s="132" t="s">
        <v>152</v>
      </c>
      <c r="C35" s="165">
        <f>SUM(C30:C34)</f>
        <v>-7635487</v>
      </c>
      <c r="D35" s="88">
        <f>SUM(D30:D34)</f>
        <v>36792650</v>
      </c>
      <c r="E35" s="88">
        <f>SUM(E30:E34)</f>
        <v>24757746</v>
      </c>
    </row>
    <row r="36" spans="1:9" ht="15.75" thickTop="1">
      <c r="C36" s="160"/>
      <c r="D36" s="83"/>
    </row>
    <row r="37" spans="1:9">
      <c r="A37" s="119" t="s">
        <v>20</v>
      </c>
      <c r="B37" s="132" t="s">
        <v>151</v>
      </c>
      <c r="C37" s="160"/>
      <c r="D37" s="83"/>
    </row>
    <row r="38" spans="1:9">
      <c r="B38" s="190" t="s">
        <v>21</v>
      </c>
      <c r="C38" s="191">
        <f>'Working 31.03.15'!W50</f>
        <v>131171158</v>
      </c>
      <c r="D38" s="192">
        <f>+'Working 31.03.14'!W50</f>
        <v>-31601023</v>
      </c>
      <c r="E38" s="95">
        <f>+'Working 31.03.13'!V50</f>
        <v>23045520</v>
      </c>
    </row>
    <row r="39" spans="1:9">
      <c r="B39" s="190" t="s">
        <v>22</v>
      </c>
      <c r="C39" s="191">
        <v>0</v>
      </c>
      <c r="D39" s="193"/>
      <c r="E39" s="96">
        <v>0</v>
      </c>
    </row>
    <row r="40" spans="1:9">
      <c r="B40" s="119" t="s">
        <v>37</v>
      </c>
      <c r="C40" s="160">
        <f>'Working 31.03.15'!W60</f>
        <v>-28000293</v>
      </c>
      <c r="D40" s="84">
        <f>+'Working 31.03.14'!W60</f>
        <v>-17144602</v>
      </c>
      <c r="E40" s="84">
        <f>-'Working 31.03.13'!V60</f>
        <v>-47805942</v>
      </c>
    </row>
    <row r="41" spans="1:9">
      <c r="B41" s="119" t="s">
        <v>24</v>
      </c>
      <c r="C41" s="160">
        <f>'Working 31.03.15'!P85</f>
        <v>-40298713</v>
      </c>
      <c r="D41" s="85">
        <f>+'Working 31.03.14'!P85</f>
        <v>-29889922</v>
      </c>
      <c r="E41" s="85">
        <f>+'Working 31.03.13'!P71</f>
        <v>-35397111</v>
      </c>
    </row>
    <row r="42" spans="1:9" ht="15.75" thickBot="1">
      <c r="B42" s="132" t="s">
        <v>153</v>
      </c>
      <c r="C42" s="166">
        <f>SUM(C38:C41)</f>
        <v>62872152</v>
      </c>
      <c r="D42" s="99">
        <f>SUM(D38:D41)</f>
        <v>-78635547</v>
      </c>
      <c r="E42" s="99">
        <f>SUM(E38:E41)</f>
        <v>-60157533</v>
      </c>
      <c r="G42" s="119" t="s">
        <v>39</v>
      </c>
    </row>
    <row r="43" spans="1:9" ht="15.75" thickTop="1">
      <c r="C43" s="160"/>
      <c r="D43" s="83"/>
    </row>
    <row r="44" spans="1:9">
      <c r="B44" s="119" t="s">
        <v>154</v>
      </c>
      <c r="C44" s="167">
        <f>+C28+C35+C42</f>
        <v>2169735</v>
      </c>
      <c r="D44" s="100">
        <f>+D28+D35+D42</f>
        <v>-1804116.9600000083</v>
      </c>
      <c r="E44" s="100">
        <f>+E28+E35+E42</f>
        <v>-12230049</v>
      </c>
      <c r="F44" s="120"/>
    </row>
    <row r="45" spans="1:9">
      <c r="C45" s="160"/>
      <c r="D45" s="83"/>
      <c r="F45" s="120"/>
    </row>
    <row r="46" spans="1:9">
      <c r="B46" s="119" t="s">
        <v>25</v>
      </c>
      <c r="C46" s="160">
        <v>5893843</v>
      </c>
      <c r="D46" s="83">
        <f>+E47</f>
        <v>7697960</v>
      </c>
      <c r="E46" s="83">
        <v>19928009</v>
      </c>
      <c r="H46" s="168"/>
    </row>
    <row r="47" spans="1:9">
      <c r="B47" s="119" t="s">
        <v>26</v>
      </c>
      <c r="C47" s="160">
        <f>C55</f>
        <v>8063578.3300000001</v>
      </c>
      <c r="D47" s="83">
        <f>+D55</f>
        <v>5893843</v>
      </c>
      <c r="E47" s="83">
        <f>+E44+E46</f>
        <v>7697960</v>
      </c>
      <c r="F47" s="83"/>
      <c r="G47" s="84"/>
      <c r="H47" s="84"/>
      <c r="I47" s="84"/>
    </row>
    <row r="48" spans="1:9">
      <c r="C48" s="160"/>
      <c r="D48" s="83"/>
      <c r="F48" s="120"/>
      <c r="H48" s="84"/>
    </row>
    <row r="49" spans="1:9">
      <c r="B49" s="169" t="s">
        <v>27</v>
      </c>
      <c r="C49" s="170"/>
      <c r="D49" s="184"/>
      <c r="E49" s="101"/>
      <c r="G49" s="84"/>
      <c r="H49" s="84"/>
    </row>
    <row r="50" spans="1:9">
      <c r="B50" s="171" t="s">
        <v>28</v>
      </c>
      <c r="C50" s="172">
        <v>132740.57999999999</v>
      </c>
      <c r="D50" s="185">
        <v>180713</v>
      </c>
      <c r="E50" s="89">
        <v>506117</v>
      </c>
      <c r="H50" s="168"/>
    </row>
    <row r="51" spans="1:9">
      <c r="B51" s="171" t="s">
        <v>29</v>
      </c>
      <c r="C51" s="172"/>
      <c r="D51" s="185"/>
      <c r="E51" s="89"/>
    </row>
    <row r="52" spans="1:9">
      <c r="B52" s="171" t="s">
        <v>30</v>
      </c>
      <c r="C52" s="172">
        <v>1890198.75</v>
      </c>
      <c r="D52" s="185">
        <v>173334</v>
      </c>
      <c r="E52" s="89">
        <v>1351391</v>
      </c>
    </row>
    <row r="53" spans="1:9">
      <c r="B53" s="171" t="s">
        <v>34</v>
      </c>
      <c r="C53" s="172">
        <f>6039310</f>
        <v>6039310</v>
      </c>
      <c r="D53" s="185">
        <f>5866597-327287</f>
        <v>5539310</v>
      </c>
      <c r="E53" s="89">
        <v>5839310</v>
      </c>
    </row>
    <row r="54" spans="1:9">
      <c r="B54" s="171" t="s">
        <v>169</v>
      </c>
      <c r="C54" s="172">
        <v>1329</v>
      </c>
      <c r="D54" s="185">
        <v>486</v>
      </c>
      <c r="E54" s="89">
        <v>1142</v>
      </c>
    </row>
    <row r="55" spans="1:9">
      <c r="B55" s="173"/>
      <c r="C55" s="183">
        <f>SUM(C50:C54)</f>
        <v>8063578.3300000001</v>
      </c>
      <c r="D55" s="186">
        <f>SUM(D50:D54)</f>
        <v>5893843</v>
      </c>
      <c r="E55" s="174">
        <f>SUM(E50:E54)</f>
        <v>7697960</v>
      </c>
    </row>
    <row r="56" spans="1:9">
      <c r="B56" s="119" t="s">
        <v>31</v>
      </c>
      <c r="D56" s="97"/>
    </row>
    <row r="57" spans="1:9">
      <c r="C57" s="98">
        <f>C44+C46-C47</f>
        <v>-0.33000000007450581</v>
      </c>
      <c r="D57" s="189">
        <f>D44+D46-D47</f>
        <v>3.9999991655349731E-2</v>
      </c>
      <c r="H57" s="102"/>
      <c r="I57" s="102"/>
    </row>
    <row r="59" spans="1:9">
      <c r="A59" s="103"/>
      <c r="B59" s="196" t="s">
        <v>41</v>
      </c>
      <c r="C59" s="196"/>
      <c r="D59" s="196"/>
      <c r="E59" s="196"/>
    </row>
    <row r="60" spans="1:9">
      <c r="B60" s="107" t="s">
        <v>144</v>
      </c>
      <c r="C60" s="195" t="s">
        <v>141</v>
      </c>
      <c r="D60" s="195"/>
      <c r="E60" s="195"/>
    </row>
    <row r="61" spans="1:9">
      <c r="B61" s="110" t="s">
        <v>40</v>
      </c>
      <c r="C61" s="195" t="s">
        <v>142</v>
      </c>
      <c r="D61" s="198"/>
      <c r="E61" s="198"/>
    </row>
    <row r="62" spans="1:9" ht="10.5" customHeight="1">
      <c r="A62" s="106" t="s">
        <v>39</v>
      </c>
      <c r="B62" s="197"/>
      <c r="C62" s="197"/>
      <c r="D62" s="197"/>
      <c r="E62" s="197"/>
    </row>
    <row r="63" spans="1:9" ht="8.25" customHeight="1">
      <c r="A63" s="107" t="s">
        <v>39</v>
      </c>
      <c r="B63" s="107"/>
      <c r="C63" s="107"/>
      <c r="D63" s="108"/>
    </row>
    <row r="64" spans="1:9">
      <c r="B64" s="107" t="s">
        <v>191</v>
      </c>
      <c r="C64" s="107"/>
      <c r="D64" s="108" t="s">
        <v>39</v>
      </c>
      <c r="E64" s="109" t="s">
        <v>177</v>
      </c>
    </row>
    <row r="65" spans="1:6">
      <c r="B65" s="110" t="s">
        <v>192</v>
      </c>
      <c r="C65" s="110"/>
      <c r="D65" s="182" t="s">
        <v>188</v>
      </c>
      <c r="E65" s="111" t="s">
        <v>159</v>
      </c>
    </row>
    <row r="66" spans="1:6" ht="15.75" customHeight="1">
      <c r="A66" s="107" t="s">
        <v>39</v>
      </c>
      <c r="B66" s="105"/>
      <c r="C66" s="105"/>
      <c r="D66" s="182" t="s">
        <v>189</v>
      </c>
      <c r="E66" s="111" t="s">
        <v>178</v>
      </c>
    </row>
    <row r="67" spans="1:6">
      <c r="B67" s="104" t="s">
        <v>146</v>
      </c>
      <c r="C67" s="104"/>
      <c r="D67" s="182" t="s">
        <v>190</v>
      </c>
      <c r="E67" s="104"/>
    </row>
    <row r="68" spans="1:6">
      <c r="B68" s="110" t="s">
        <v>148</v>
      </c>
      <c r="C68" s="110"/>
      <c r="D68" s="110"/>
      <c r="E68" s="110"/>
    </row>
    <row r="69" spans="1:6" ht="13.5" customHeight="1">
      <c r="A69" s="112"/>
      <c r="B69" s="195" t="s">
        <v>145</v>
      </c>
      <c r="C69" s="195"/>
      <c r="D69" s="195"/>
      <c r="E69" s="195"/>
    </row>
    <row r="70" spans="1:6" ht="14.25" customHeight="1">
      <c r="A70" s="112"/>
      <c r="B70" s="195" t="s">
        <v>42</v>
      </c>
      <c r="C70" s="195"/>
      <c r="D70" s="195"/>
      <c r="E70" s="195"/>
    </row>
    <row r="71" spans="1:6">
      <c r="B71" s="104" t="s">
        <v>194</v>
      </c>
      <c r="C71" s="104"/>
      <c r="D71" s="182" t="s">
        <v>147</v>
      </c>
      <c r="E71" s="108" t="s">
        <v>147</v>
      </c>
    </row>
    <row r="72" spans="1:6">
      <c r="B72" s="110" t="s">
        <v>195</v>
      </c>
      <c r="C72" s="110"/>
      <c r="D72" s="182" t="s">
        <v>187</v>
      </c>
      <c r="E72" s="113" t="s">
        <v>149</v>
      </c>
    </row>
    <row r="73" spans="1:6">
      <c r="A73" s="112"/>
      <c r="B73" s="106"/>
      <c r="C73" s="106"/>
      <c r="D73" s="106"/>
      <c r="E73" s="114"/>
    </row>
    <row r="74" spans="1:6">
      <c r="B74" s="112" t="s">
        <v>150</v>
      </c>
      <c r="C74" s="112"/>
      <c r="D74" s="107"/>
      <c r="E74" s="114"/>
      <c r="F74" s="115"/>
    </row>
    <row r="75" spans="1:6">
      <c r="B75" s="112" t="s">
        <v>193</v>
      </c>
      <c r="C75" s="112"/>
      <c r="D75" s="107"/>
      <c r="E75" s="105"/>
      <c r="F75" s="116"/>
    </row>
    <row r="76" spans="1:6">
      <c r="D76" s="132"/>
    </row>
    <row r="77" spans="1:6">
      <c r="D77" s="132"/>
    </row>
    <row r="78" spans="1:6">
      <c r="D78" s="132"/>
    </row>
    <row r="79" spans="1:6">
      <c r="D79" s="132"/>
    </row>
    <row r="80" spans="1:6">
      <c r="D80" s="132"/>
    </row>
    <row r="81" spans="4:4">
      <c r="D81" s="132"/>
    </row>
    <row r="82" spans="4:4">
      <c r="D82" s="132"/>
    </row>
    <row r="83" spans="4:4">
      <c r="D83" s="132"/>
    </row>
    <row r="84" spans="4:4">
      <c r="D84" s="132"/>
    </row>
    <row r="85" spans="4:4">
      <c r="D85" s="175"/>
    </row>
    <row r="89" spans="4:4">
      <c r="D89" s="132"/>
    </row>
  </sheetData>
  <mergeCells count="8">
    <mergeCell ref="A1:E1"/>
    <mergeCell ref="A3:E3"/>
    <mergeCell ref="B70:E70"/>
    <mergeCell ref="B59:E59"/>
    <mergeCell ref="B62:E62"/>
    <mergeCell ref="B69:E69"/>
    <mergeCell ref="C60:E60"/>
    <mergeCell ref="C61:E61"/>
  </mergeCells>
  <phoneticPr fontId="0" type="noConversion"/>
  <hyperlinks>
    <hyperlink ref="D38" r:id="rId1" display="=-@sum(+Sheet1!S24)"/>
    <hyperlink ref="E39" r:id="rId2" display="=-@sum(+Sheet1!S24)"/>
  </hyperlinks>
  <pageMargins left="0.7" right="0.7" top="0.48" bottom="0.39" header="0.3" footer="0.3"/>
  <pageSetup paperSize="9" scale="72" orientation="portrait" r:id="rId3"/>
  <rowBreaks count="1" manualBreakCount="1">
    <brk id="84" max="16383" man="1"/>
  </rowBreaks>
  <colBreaks count="1" manualBreakCount="1">
    <brk id="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topLeftCell="A43" zoomScale="85" zoomScaleSheetLayoutView="85" workbookViewId="0">
      <selection activeCell="F51" sqref="F51"/>
    </sheetView>
  </sheetViews>
  <sheetFormatPr defaultRowHeight="15"/>
  <cols>
    <col min="1" max="3" width="9.140625" style="1" customWidth="1"/>
    <col min="4" max="4" width="23.85546875" style="1" customWidth="1"/>
    <col min="5" max="5" width="10" style="1" bestFit="1" customWidth="1"/>
    <col min="6" max="6" width="15.28515625" style="1" bestFit="1" customWidth="1"/>
    <col min="7" max="7" width="15.28515625" style="2" bestFit="1" customWidth="1"/>
    <col min="8" max="8" width="5.5703125" style="1" customWidth="1"/>
    <col min="9" max="9" width="14" style="1" customWidth="1"/>
    <col min="10" max="13" width="9.140625" style="1" customWidth="1"/>
    <col min="14" max="14" width="23.85546875" style="1" customWidth="1"/>
    <col min="15" max="15" width="17.85546875" style="5" customWidth="1"/>
    <col min="16" max="16" width="13.42578125" style="1" bestFit="1" customWidth="1"/>
    <col min="17" max="17" width="13.42578125" style="1" customWidth="1"/>
    <col min="18" max="18" width="5.85546875" style="1" customWidth="1"/>
    <col min="19" max="19" width="29.28515625" style="1" customWidth="1"/>
    <col min="20" max="20" width="18.28515625" style="1" customWidth="1"/>
    <col min="21" max="21" width="17.28515625" style="1" customWidth="1"/>
    <col min="22" max="22" width="15.42578125" style="1" customWidth="1"/>
    <col min="23" max="23" width="17.42578125" style="1" customWidth="1"/>
    <col min="24" max="24" width="4.85546875" style="1" customWidth="1"/>
    <col min="25" max="25" width="14.140625" style="1" bestFit="1" customWidth="1"/>
    <col min="26" max="26" width="12.5703125" style="1" customWidth="1"/>
    <col min="27" max="27" width="11.85546875" style="1" customWidth="1"/>
    <col min="28" max="28" width="15.85546875" style="1" customWidth="1"/>
    <col min="29" max="16384" width="9.140625" style="1"/>
  </cols>
  <sheetData>
    <row r="1" spans="1:25">
      <c r="A1" s="4" t="s">
        <v>172</v>
      </c>
    </row>
    <row r="2" spans="1:25">
      <c r="K2" s="4" t="s">
        <v>43</v>
      </c>
      <c r="S2" s="199" t="s">
        <v>32</v>
      </c>
      <c r="T2" s="199"/>
      <c r="U2" s="199"/>
      <c r="V2" s="199"/>
    </row>
    <row r="3" spans="1:25">
      <c r="K3" s="1" t="s">
        <v>46</v>
      </c>
      <c r="O3" s="5">
        <f>59726469+123800779</f>
        <v>183527248</v>
      </c>
      <c r="S3" s="6" t="s">
        <v>44</v>
      </c>
    </row>
    <row r="4" spans="1:25">
      <c r="A4" s="4" t="s">
        <v>45</v>
      </c>
      <c r="K4" s="1" t="s">
        <v>47</v>
      </c>
      <c r="O4" s="5">
        <v>1106611</v>
      </c>
    </row>
    <row r="5" spans="1:25">
      <c r="K5" s="1" t="s">
        <v>54</v>
      </c>
      <c r="O5" s="55">
        <v>0</v>
      </c>
      <c r="S5" s="6" t="s">
        <v>48</v>
      </c>
      <c r="T5" s="7" t="s">
        <v>49</v>
      </c>
      <c r="U5" s="7" t="s">
        <v>50</v>
      </c>
      <c r="V5" s="7" t="s">
        <v>51</v>
      </c>
      <c r="W5" s="7" t="s">
        <v>52</v>
      </c>
      <c r="X5" s="7"/>
    </row>
    <row r="6" spans="1:25">
      <c r="A6" s="1" t="s">
        <v>53</v>
      </c>
      <c r="F6" s="63">
        <v>0</v>
      </c>
      <c r="G6" s="8"/>
      <c r="H6" s="9"/>
      <c r="K6" s="1" t="s">
        <v>128</v>
      </c>
      <c r="O6" s="10">
        <v>638456</v>
      </c>
      <c r="P6" s="10">
        <f>O3-O4-O5-O6</f>
        <v>181782181</v>
      </c>
      <c r="Q6" s="25"/>
      <c r="T6" s="7" t="s">
        <v>131</v>
      </c>
      <c r="U6" s="7"/>
      <c r="V6" s="7"/>
      <c r="W6" s="7" t="s">
        <v>156</v>
      </c>
      <c r="X6" s="7"/>
    </row>
    <row r="7" spans="1:25">
      <c r="A7" s="1" t="s">
        <v>55</v>
      </c>
      <c r="F7" s="11">
        <v>1974746</v>
      </c>
      <c r="G7" s="8">
        <f>+F6-F7</f>
        <v>-1974746</v>
      </c>
      <c r="H7" s="9"/>
      <c r="T7" s="7"/>
    </row>
    <row r="8" spans="1:25">
      <c r="F8" s="9"/>
      <c r="H8" s="9"/>
      <c r="K8" s="1" t="s">
        <v>58</v>
      </c>
      <c r="O8" s="5">
        <f>68363976+52509407</f>
        <v>120873383</v>
      </c>
      <c r="S8" s="1" t="s">
        <v>56</v>
      </c>
      <c r="T8" s="28">
        <v>0</v>
      </c>
      <c r="U8" s="28">
        <v>0</v>
      </c>
      <c r="V8" s="28">
        <v>0</v>
      </c>
      <c r="W8" s="28">
        <f>+T8+U8-V8</f>
        <v>0</v>
      </c>
    </row>
    <row r="9" spans="1:25">
      <c r="A9" s="1" t="s">
        <v>57</v>
      </c>
      <c r="F9" s="9"/>
      <c r="G9" s="64">
        <v>0</v>
      </c>
      <c r="H9" s="9"/>
      <c r="K9" s="1" t="s">
        <v>59</v>
      </c>
      <c r="O9" s="5">
        <v>1515325</v>
      </c>
      <c r="T9" s="28"/>
      <c r="U9" s="28"/>
      <c r="V9" s="28"/>
      <c r="W9" s="28"/>
    </row>
    <row r="10" spans="1:25">
      <c r="F10" s="9"/>
      <c r="G10" s="8">
        <f>+G7+G9</f>
        <v>-1974746</v>
      </c>
      <c r="H10" s="9"/>
      <c r="K10" s="1" t="s">
        <v>62</v>
      </c>
      <c r="O10" s="55">
        <v>0</v>
      </c>
      <c r="S10" s="1" t="s">
        <v>60</v>
      </c>
      <c r="T10" s="28"/>
      <c r="U10" s="28"/>
      <c r="V10" s="28"/>
      <c r="W10" s="28"/>
      <c r="Y10" s="34" t="s">
        <v>39</v>
      </c>
    </row>
    <row r="11" spans="1:25">
      <c r="A11" s="4" t="s">
        <v>61</v>
      </c>
      <c r="F11" s="9"/>
      <c r="G11" s="8"/>
      <c r="H11" s="9"/>
      <c r="K11" s="1" t="s">
        <v>128</v>
      </c>
      <c r="O11" s="10">
        <v>269701</v>
      </c>
      <c r="P11" s="10">
        <f>O8-O9-O10-O11</f>
        <v>119088357</v>
      </c>
      <c r="Q11" s="25"/>
      <c r="T11" s="28"/>
      <c r="U11" s="28"/>
      <c r="V11" s="28"/>
      <c r="W11" s="28"/>
    </row>
    <row r="12" spans="1:25" ht="15.75" thickBot="1">
      <c r="A12" s="1" t="s">
        <v>63</v>
      </c>
      <c r="F12" s="8"/>
      <c r="G12" s="63">
        <v>0</v>
      </c>
      <c r="H12" s="9"/>
      <c r="K12" s="13" t="s">
        <v>64</v>
      </c>
      <c r="P12" s="26">
        <f>+P6-P11</f>
        <v>62693824</v>
      </c>
      <c r="Q12" s="25"/>
      <c r="S12" s="6" t="s">
        <v>65</v>
      </c>
      <c r="T12" s="28"/>
      <c r="U12" s="28"/>
      <c r="V12" s="28"/>
      <c r="W12" s="28"/>
    </row>
    <row r="13" spans="1:25" ht="15.75" thickTop="1">
      <c r="A13" s="1" t="s">
        <v>66</v>
      </c>
      <c r="F13" s="3"/>
      <c r="G13" s="11">
        <v>2745921</v>
      </c>
      <c r="H13" s="9"/>
      <c r="S13" s="1" t="s">
        <v>67</v>
      </c>
      <c r="T13" s="28"/>
      <c r="U13" s="28"/>
      <c r="V13" s="28"/>
      <c r="W13" s="28"/>
    </row>
    <row r="14" spans="1:25" ht="15.75" thickBot="1">
      <c r="D14" s="13" t="s">
        <v>68</v>
      </c>
      <c r="F14" s="9"/>
      <c r="G14" s="37">
        <f>+G10+G13</f>
        <v>771175</v>
      </c>
      <c r="H14" s="9"/>
      <c r="K14" s="47"/>
      <c r="L14" s="47"/>
      <c r="M14" s="47"/>
      <c r="N14" s="56" t="s">
        <v>164</v>
      </c>
      <c r="O14" s="48"/>
      <c r="P14" s="47"/>
      <c r="Q14" s="26">
        <f>P12+F87+F92</f>
        <v>52075637</v>
      </c>
      <c r="S14" s="1" t="s">
        <v>129</v>
      </c>
      <c r="T14" s="28"/>
      <c r="U14" s="28"/>
      <c r="V14" s="28"/>
      <c r="W14" s="28"/>
    </row>
    <row r="15" spans="1:25" ht="15.75" thickTop="1">
      <c r="F15" s="9"/>
      <c r="G15" s="8"/>
      <c r="H15" s="9"/>
      <c r="K15" s="49" t="s">
        <v>69</v>
      </c>
      <c r="L15" s="47"/>
      <c r="M15" s="47"/>
      <c r="N15" s="47"/>
      <c r="O15" s="48"/>
      <c r="P15" s="47"/>
      <c r="Q15" s="47"/>
      <c r="S15" s="33" t="s">
        <v>70</v>
      </c>
      <c r="T15" s="28"/>
      <c r="U15" s="28"/>
      <c r="V15" s="28"/>
      <c r="W15" s="28"/>
      <c r="Y15" s="34" t="s">
        <v>39</v>
      </c>
    </row>
    <row r="16" spans="1:25">
      <c r="F16" s="9"/>
      <c r="G16" s="8"/>
      <c r="H16" s="9"/>
      <c r="K16" s="47"/>
      <c r="L16" s="47"/>
      <c r="M16" s="47"/>
      <c r="N16" s="47"/>
      <c r="O16" s="48"/>
      <c r="P16" s="47"/>
      <c r="Q16" s="47"/>
      <c r="S16" s="1" t="s">
        <v>130</v>
      </c>
      <c r="T16" s="28"/>
      <c r="U16" s="28"/>
      <c r="V16" s="28"/>
      <c r="W16" s="28"/>
    </row>
    <row r="17" spans="1:28">
      <c r="A17" s="4" t="s">
        <v>71</v>
      </c>
      <c r="F17" s="9"/>
      <c r="G17" s="8"/>
      <c r="H17" s="9"/>
      <c r="K17" s="47" t="s">
        <v>46</v>
      </c>
      <c r="L17" s="47"/>
      <c r="M17" s="47"/>
      <c r="N17" s="47"/>
      <c r="O17" s="67">
        <f>+N16-N17</f>
        <v>0</v>
      </c>
      <c r="P17" s="68"/>
      <c r="Q17" s="47"/>
      <c r="S17" s="1" t="s">
        <v>91</v>
      </c>
      <c r="T17" s="28"/>
      <c r="U17" s="28"/>
      <c r="V17" s="28"/>
      <c r="W17" s="28"/>
    </row>
    <row r="18" spans="1:28">
      <c r="K18" s="47" t="s">
        <v>72</v>
      </c>
      <c r="L18" s="47"/>
      <c r="M18" s="47"/>
      <c r="N18" s="47"/>
      <c r="O18" s="69">
        <f>+N17-N18</f>
        <v>0</v>
      </c>
      <c r="P18" s="68">
        <f>+O17-O18</f>
        <v>0</v>
      </c>
      <c r="Q18" s="50"/>
      <c r="T18" s="28"/>
      <c r="U18" s="28"/>
      <c r="V18" s="28"/>
      <c r="W18" s="28"/>
    </row>
    <row r="19" spans="1:28">
      <c r="A19" s="1" t="s">
        <v>73</v>
      </c>
      <c r="K19" s="47" t="s">
        <v>74</v>
      </c>
      <c r="L19" s="47"/>
      <c r="M19" s="47"/>
      <c r="N19" s="47"/>
      <c r="O19" s="68">
        <v>0</v>
      </c>
      <c r="P19" s="68"/>
      <c r="Q19" s="47"/>
      <c r="T19" s="28"/>
      <c r="U19" s="28"/>
      <c r="V19" s="28"/>
      <c r="W19" s="28"/>
    </row>
    <row r="20" spans="1:28">
      <c r="K20" s="47" t="s">
        <v>72</v>
      </c>
      <c r="L20" s="47"/>
      <c r="M20" s="47"/>
      <c r="N20" s="47"/>
      <c r="O20" s="69">
        <v>0</v>
      </c>
      <c r="P20" s="68">
        <f>+O19-O20</f>
        <v>0</v>
      </c>
      <c r="Q20" s="51"/>
      <c r="T20" s="29"/>
      <c r="U20" s="29"/>
      <c r="V20" s="29"/>
      <c r="W20" s="28">
        <f>+T20+U20-V20</f>
        <v>0</v>
      </c>
      <c r="X20" s="9"/>
    </row>
    <row r="21" spans="1:28" ht="15.75" thickBot="1">
      <c r="A21" s="1" t="s">
        <v>75</v>
      </c>
      <c r="G21" s="11"/>
      <c r="K21" s="52" t="s">
        <v>76</v>
      </c>
      <c r="L21" s="47"/>
      <c r="M21" s="47"/>
      <c r="N21" s="47"/>
      <c r="O21" s="48"/>
      <c r="P21" s="53">
        <f>+P18-P20</f>
        <v>0</v>
      </c>
      <c r="Q21" s="60"/>
      <c r="R21" s="15"/>
      <c r="T21" s="32">
        <f>SUM(T8:T20)</f>
        <v>0</v>
      </c>
      <c r="U21" s="32">
        <f>SUM(U8:U20)</f>
        <v>0</v>
      </c>
      <c r="V21" s="32">
        <f>SUM(V8:V20)</f>
        <v>0</v>
      </c>
      <c r="W21" s="32">
        <f>SUM(W8:W20)</f>
        <v>0</v>
      </c>
      <c r="X21" s="16"/>
      <c r="Y21" s="35">
        <f>+W21-T21</f>
        <v>0</v>
      </c>
    </row>
    <row r="22" spans="1:28" ht="15.75" thickTop="1">
      <c r="G22" s="2">
        <f>+G19+G20</f>
        <v>0</v>
      </c>
      <c r="K22" s="47"/>
      <c r="L22" s="47"/>
      <c r="M22" s="47"/>
      <c r="N22" s="47"/>
      <c r="O22" s="48"/>
      <c r="P22" s="47"/>
      <c r="Q22" s="47"/>
    </row>
    <row r="23" spans="1:28">
      <c r="A23" s="1" t="s">
        <v>77</v>
      </c>
      <c r="G23" s="11"/>
      <c r="K23" s="49" t="s">
        <v>78</v>
      </c>
      <c r="L23" s="47"/>
      <c r="M23" s="47"/>
      <c r="N23" s="47"/>
      <c r="O23" s="48"/>
      <c r="P23" s="47"/>
      <c r="Q23" s="47"/>
      <c r="S23" s="40" t="s">
        <v>50</v>
      </c>
      <c r="T23" s="39">
        <f>+U21</f>
        <v>0</v>
      </c>
      <c r="U23" s="27"/>
      <c r="V23" s="27"/>
    </row>
    <row r="24" spans="1:28" ht="15.75" thickBot="1">
      <c r="D24" s="13" t="s">
        <v>79</v>
      </c>
      <c r="G24" s="17">
        <f>+G22-G23</f>
        <v>0</v>
      </c>
      <c r="K24" s="47"/>
      <c r="L24" s="47"/>
      <c r="M24" s="47"/>
      <c r="N24" s="47"/>
      <c r="O24" s="48"/>
      <c r="P24" s="47"/>
      <c r="Q24" s="47"/>
      <c r="S24" s="1" t="s">
        <v>51</v>
      </c>
      <c r="T24" s="34">
        <f>+V21</f>
        <v>0</v>
      </c>
    </row>
    <row r="25" spans="1:28" ht="16.5" thickTop="1" thickBot="1">
      <c r="K25" s="47" t="s">
        <v>46</v>
      </c>
      <c r="L25" s="47"/>
      <c r="M25" s="47"/>
      <c r="N25" s="47"/>
      <c r="O25" s="48"/>
      <c r="P25" s="50"/>
      <c r="Q25" s="50"/>
      <c r="T25" s="41">
        <f>+T23-T24</f>
        <v>0</v>
      </c>
    </row>
    <row r="26" spans="1:28" ht="15.75" thickTop="1">
      <c r="K26" s="47"/>
      <c r="L26" s="47"/>
      <c r="M26" s="47"/>
      <c r="N26" s="47"/>
      <c r="O26" s="48"/>
      <c r="P26" s="47"/>
      <c r="Q26" s="47"/>
      <c r="W26" s="18"/>
      <c r="X26" s="18"/>
      <c r="Y26" s="18"/>
      <c r="Z26" s="9"/>
      <c r="AA26" s="9"/>
      <c r="AB26" s="9"/>
    </row>
    <row r="27" spans="1:28">
      <c r="A27" s="4" t="s">
        <v>81</v>
      </c>
      <c r="K27" s="47" t="s">
        <v>74</v>
      </c>
      <c r="L27" s="47"/>
      <c r="M27" s="47"/>
      <c r="N27" s="47"/>
      <c r="O27" s="48"/>
      <c r="P27" s="51"/>
      <c r="Q27" s="51"/>
      <c r="S27" s="6" t="s">
        <v>80</v>
      </c>
      <c r="T27" s="18"/>
      <c r="U27" s="7" t="s">
        <v>0</v>
      </c>
      <c r="V27" s="7" t="s">
        <v>0</v>
      </c>
      <c r="W27" s="18"/>
      <c r="X27" s="18"/>
      <c r="Y27" s="18"/>
      <c r="Z27" s="9"/>
      <c r="AA27" s="9"/>
      <c r="AB27" s="9"/>
    </row>
    <row r="28" spans="1:28" ht="15.75" thickBot="1">
      <c r="K28" s="52" t="s">
        <v>82</v>
      </c>
      <c r="L28" s="47"/>
      <c r="M28" s="47"/>
      <c r="N28" s="47"/>
      <c r="O28" s="48"/>
      <c r="P28" s="66">
        <f>+P25-P27</f>
        <v>0</v>
      </c>
      <c r="Q28" s="58"/>
      <c r="T28" s="18"/>
      <c r="U28" s="7" t="s">
        <v>131</v>
      </c>
      <c r="V28" s="7" t="s">
        <v>155</v>
      </c>
      <c r="W28" s="9"/>
      <c r="X28" s="9"/>
      <c r="Y28" s="18"/>
      <c r="Z28" s="9"/>
      <c r="AA28" s="9"/>
      <c r="AB28" s="9"/>
    </row>
    <row r="29" spans="1:28" ht="15.75" thickTop="1">
      <c r="A29" s="1" t="s">
        <v>46</v>
      </c>
      <c r="F29" s="2">
        <v>136363222</v>
      </c>
      <c r="K29" s="47"/>
      <c r="L29" s="47"/>
      <c r="M29" s="47"/>
      <c r="N29" s="47"/>
      <c r="O29" s="48"/>
      <c r="P29" s="47"/>
      <c r="Q29" s="47"/>
      <c r="S29" s="6" t="s">
        <v>44</v>
      </c>
      <c r="T29" s="9"/>
      <c r="U29" s="29"/>
      <c r="V29" s="29"/>
      <c r="W29" s="29"/>
      <c r="X29" s="9"/>
      <c r="Y29" s="9"/>
      <c r="Z29" s="9"/>
      <c r="AA29" s="9"/>
      <c r="AB29" s="9"/>
    </row>
    <row r="30" spans="1:28">
      <c r="A30" s="1" t="s">
        <v>162</v>
      </c>
      <c r="F30" s="11">
        <v>101787500</v>
      </c>
      <c r="S30" s="1" t="s">
        <v>83</v>
      </c>
      <c r="T30" s="9"/>
      <c r="U30" s="29"/>
      <c r="V30" s="29"/>
      <c r="W30" s="42" t="s">
        <v>50</v>
      </c>
      <c r="Y30" s="39"/>
      <c r="Z30" s="9"/>
      <c r="AA30" s="9"/>
      <c r="AB30" s="9"/>
    </row>
    <row r="31" spans="1:28">
      <c r="G31" s="2">
        <f>F29-F30</f>
        <v>34575722</v>
      </c>
      <c r="K31" s="4" t="s">
        <v>84</v>
      </c>
      <c r="S31" s="1" t="s">
        <v>132</v>
      </c>
      <c r="T31" s="9"/>
      <c r="U31" s="29"/>
      <c r="V31" s="29"/>
      <c r="W31" s="43" t="s">
        <v>51</v>
      </c>
      <c r="Y31" s="34"/>
      <c r="Z31" s="9"/>
      <c r="AA31" s="9"/>
      <c r="AB31" s="9"/>
    </row>
    <row r="32" spans="1:28" ht="15.75" thickBot="1">
      <c r="S32" s="1" t="s">
        <v>86</v>
      </c>
      <c r="T32" s="9"/>
      <c r="U32" s="30"/>
      <c r="V32" s="30"/>
      <c r="W32" s="43"/>
      <c r="Y32" s="41">
        <f>+Y30-Y31</f>
        <v>0</v>
      </c>
      <c r="Z32" s="9"/>
      <c r="AA32" s="9"/>
      <c r="AB32" s="9"/>
    </row>
    <row r="33" spans="1:28" ht="15.75" thickTop="1">
      <c r="A33" s="1" t="s">
        <v>58</v>
      </c>
      <c r="F33" s="2">
        <v>119907652</v>
      </c>
      <c r="K33" s="1" t="s">
        <v>87</v>
      </c>
      <c r="P33" s="55">
        <v>0</v>
      </c>
      <c r="S33" s="6"/>
      <c r="T33" s="9"/>
      <c r="U33" s="29">
        <f>SUM(U30:U32)</f>
        <v>0</v>
      </c>
      <c r="V33" s="29">
        <f>SUM(V30:V32)</f>
        <v>0</v>
      </c>
      <c r="W33" s="44"/>
      <c r="X33" s="9"/>
      <c r="Y33" s="9"/>
      <c r="Z33" s="9"/>
      <c r="AA33" s="9"/>
      <c r="AB33" s="9"/>
    </row>
    <row r="34" spans="1:28">
      <c r="A34" s="1" t="s">
        <v>162</v>
      </c>
      <c r="F34" s="11">
        <v>90500000</v>
      </c>
      <c r="G34" s="2">
        <f>F33-F34</f>
        <v>29407652</v>
      </c>
      <c r="S34" s="6" t="s">
        <v>89</v>
      </c>
      <c r="T34" s="9"/>
      <c r="U34" s="29"/>
      <c r="V34" s="29"/>
      <c r="W34" s="44"/>
      <c r="X34" s="9"/>
      <c r="Y34" s="9"/>
      <c r="Z34" s="9"/>
      <c r="AA34" s="9"/>
      <c r="AB34" s="9"/>
    </row>
    <row r="35" spans="1:28">
      <c r="K35" s="1" t="s">
        <v>90</v>
      </c>
      <c r="P35" s="12">
        <v>2278776</v>
      </c>
      <c r="Q35" s="9"/>
      <c r="S35" s="1" t="s">
        <v>133</v>
      </c>
      <c r="T35" s="9"/>
      <c r="U35" s="29"/>
      <c r="V35" s="29"/>
      <c r="W35" s="44"/>
      <c r="X35" s="9"/>
      <c r="Y35" s="9"/>
      <c r="Z35" s="9"/>
      <c r="AA35" s="9"/>
      <c r="AB35" s="9"/>
    </row>
    <row r="36" spans="1:28" ht="15.75" thickBot="1">
      <c r="A36" s="13" t="s">
        <v>85</v>
      </c>
      <c r="G36" s="17">
        <f>G31-G34</f>
        <v>5168070</v>
      </c>
      <c r="P36" s="1">
        <f>+P33+P35</f>
        <v>2278776</v>
      </c>
      <c r="S36" s="19" t="s">
        <v>91</v>
      </c>
      <c r="T36" s="9"/>
      <c r="U36" s="29"/>
      <c r="V36" s="29"/>
      <c r="W36" s="44"/>
      <c r="X36" s="9"/>
      <c r="Y36" s="9"/>
      <c r="Z36" s="9"/>
      <c r="AA36" s="9"/>
      <c r="AB36" s="9"/>
    </row>
    <row r="37" spans="1:28" ht="15.75" thickTop="1">
      <c r="A37" s="13"/>
      <c r="G37" s="8"/>
      <c r="K37" s="1" t="s">
        <v>93</v>
      </c>
      <c r="P37" s="12">
        <v>1145524</v>
      </c>
      <c r="Q37" s="9"/>
      <c r="S37" s="1" t="s">
        <v>94</v>
      </c>
      <c r="T37" s="9"/>
      <c r="U37" s="30"/>
      <c r="V37" s="30"/>
      <c r="W37" s="44"/>
      <c r="X37" s="9"/>
      <c r="Y37" s="9"/>
      <c r="Z37" s="9"/>
      <c r="AA37" s="9"/>
      <c r="AB37" s="9"/>
    </row>
    <row r="38" spans="1:28" ht="15.75" thickBot="1">
      <c r="A38" s="13"/>
      <c r="G38" s="8"/>
      <c r="N38" s="13" t="s">
        <v>95</v>
      </c>
      <c r="P38" s="38">
        <f>-SUM(+P36-P37)</f>
        <v>-1133252</v>
      </c>
      <c r="Q38" s="65"/>
      <c r="T38" s="9"/>
      <c r="U38" s="36">
        <f>SUM(U33:U37)</f>
        <v>0</v>
      </c>
      <c r="V38" s="36">
        <f>SUM(V33:V37)</f>
        <v>0</v>
      </c>
      <c r="W38" s="44">
        <f>+U38-V38</f>
        <v>0</v>
      </c>
      <c r="X38" s="9"/>
      <c r="Y38" s="9"/>
      <c r="Z38" s="9"/>
      <c r="AA38" s="9"/>
      <c r="AB38" s="9"/>
    </row>
    <row r="39" spans="1:28" ht="15.75" thickTop="1">
      <c r="A39" s="4" t="s">
        <v>88</v>
      </c>
      <c r="T39" s="9"/>
      <c r="U39" s="9"/>
      <c r="V39" s="9"/>
      <c r="W39" s="9"/>
      <c r="X39" s="9"/>
      <c r="Y39" s="9"/>
      <c r="Z39" s="9"/>
      <c r="AA39" s="9"/>
      <c r="AB39" s="9"/>
    </row>
    <row r="40" spans="1:28" ht="15.75" thickBot="1">
      <c r="T40" s="9"/>
      <c r="U40" s="20"/>
      <c r="V40" s="20"/>
      <c r="W40" s="9"/>
      <c r="X40" s="9"/>
      <c r="Y40" s="9"/>
      <c r="Z40" s="9"/>
      <c r="AA40" s="9"/>
      <c r="AB40" s="9"/>
    </row>
    <row r="41" spans="1:28" ht="15.75" thickTop="1">
      <c r="A41" s="1" t="s">
        <v>46</v>
      </c>
      <c r="F41" s="2">
        <f>15569669+873146</f>
        <v>16442815</v>
      </c>
      <c r="K41" s="4" t="s">
        <v>97</v>
      </c>
      <c r="T41" s="9"/>
      <c r="U41" s="22"/>
      <c r="V41" s="22"/>
      <c r="W41" s="9"/>
      <c r="X41" s="9"/>
      <c r="Y41" s="9"/>
      <c r="Z41" s="9"/>
      <c r="AA41" s="9"/>
      <c r="AB41" s="9"/>
    </row>
    <row r="42" spans="1:28" ht="15.75" thickBot="1">
      <c r="A42" s="1" t="s">
        <v>92</v>
      </c>
      <c r="F42" s="64">
        <v>0</v>
      </c>
      <c r="G42" s="2">
        <f>+F41+F42</f>
        <v>16442815</v>
      </c>
      <c r="T42" s="23"/>
      <c r="U42" s="24"/>
      <c r="V42" s="24"/>
      <c r="W42" s="23"/>
      <c r="X42" s="23"/>
      <c r="Y42" s="23"/>
      <c r="Z42" s="23"/>
      <c r="AA42" s="23"/>
      <c r="AB42" s="23"/>
    </row>
    <row r="43" spans="1:28" ht="15.75" thickTop="1">
      <c r="K43" s="1" t="s">
        <v>99</v>
      </c>
      <c r="O43" s="5">
        <v>139161779</v>
      </c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1" t="s">
        <v>96</v>
      </c>
      <c r="G44" s="64">
        <v>0</v>
      </c>
      <c r="K44" s="1" t="s">
        <v>101</v>
      </c>
      <c r="O44" s="10">
        <f>320000+496558</f>
        <v>816558</v>
      </c>
      <c r="P44" s="5">
        <f>+O43-O44</f>
        <v>138345221</v>
      </c>
      <c r="Q44" s="5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G45" s="2">
        <f>+G42-G44</f>
        <v>16442815</v>
      </c>
      <c r="K45" s="1" t="s">
        <v>102</v>
      </c>
      <c r="P45" s="10">
        <v>15732807</v>
      </c>
      <c r="Q45" s="25"/>
      <c r="S45" s="45" t="s">
        <v>166</v>
      </c>
      <c r="W45" s="5"/>
    </row>
    <row r="46" spans="1:28">
      <c r="A46" s="1" t="s">
        <v>74</v>
      </c>
      <c r="G46" s="21">
        <f>46007135+4715945</f>
        <v>50723080</v>
      </c>
      <c r="O46" s="25"/>
      <c r="P46" s="8">
        <f>SUM(P44:P45)</f>
        <v>154078028</v>
      </c>
      <c r="Q46" s="8"/>
      <c r="W46" s="5"/>
    </row>
    <row r="47" spans="1:28" ht="15.75" thickBot="1">
      <c r="A47" s="13" t="s">
        <v>98</v>
      </c>
      <c r="G47" s="17">
        <f>+G46-G45</f>
        <v>34280265</v>
      </c>
      <c r="P47" s="9"/>
      <c r="Q47" s="9"/>
      <c r="S47" s="1" t="s">
        <v>46</v>
      </c>
      <c r="W47" s="5">
        <v>82541274</v>
      </c>
    </row>
    <row r="48" spans="1:28" ht="15.75" thickTop="1">
      <c r="K48" s="1" t="s">
        <v>103</v>
      </c>
      <c r="O48" s="5">
        <f>117591426+3</f>
        <v>117591429</v>
      </c>
      <c r="W48" s="5"/>
    </row>
    <row r="49" spans="1:23">
      <c r="A49" s="4" t="s">
        <v>100</v>
      </c>
      <c r="E49" s="5"/>
      <c r="G49" s="1"/>
      <c r="K49" s="1" t="s">
        <v>104</v>
      </c>
      <c r="O49" s="55">
        <v>0</v>
      </c>
      <c r="S49" s="1" t="s">
        <v>167</v>
      </c>
      <c r="W49" s="5">
        <v>114142297</v>
      </c>
    </row>
    <row r="50" spans="1:23" ht="15.75" thickBot="1">
      <c r="E50" s="5"/>
      <c r="G50" s="1"/>
      <c r="K50" s="1" t="s">
        <v>105</v>
      </c>
      <c r="O50" s="10"/>
      <c r="P50" s="5">
        <f>+O48-O49</f>
        <v>117591429</v>
      </c>
      <c r="Q50" s="5"/>
      <c r="W50" s="26">
        <f>W47-W49</f>
        <v>-31601023</v>
      </c>
    </row>
    <row r="51" spans="1:23" ht="15.75" thickTop="1">
      <c r="A51" s="1" t="s">
        <v>46</v>
      </c>
      <c r="F51" s="28">
        <f>155690231+17513991+327287</f>
        <v>173531509</v>
      </c>
      <c r="G51" s="28"/>
      <c r="K51" s="1" t="s">
        <v>106</v>
      </c>
      <c r="O51" s="25"/>
      <c r="P51" s="63">
        <v>0</v>
      </c>
      <c r="Q51" s="9"/>
      <c r="W51" s="5"/>
    </row>
    <row r="52" spans="1:23" ht="15.75" thickBot="1">
      <c r="A52" s="1" t="s">
        <v>66</v>
      </c>
      <c r="F52" s="29">
        <v>2745921</v>
      </c>
      <c r="G52" s="28"/>
      <c r="N52" s="13" t="s">
        <v>107</v>
      </c>
      <c r="P52" s="26">
        <f>+P46-P50</f>
        <v>36486599</v>
      </c>
      <c r="Q52" s="25"/>
      <c r="W52" s="5"/>
    </row>
    <row r="53" spans="1:23" ht="15.75" thickTop="1">
      <c r="A53" s="1" t="s">
        <v>127</v>
      </c>
      <c r="F53" s="30">
        <v>9645052</v>
      </c>
      <c r="G53" s="28">
        <f>F51-F52-F53</f>
        <v>161140536</v>
      </c>
      <c r="W53" s="5"/>
    </row>
    <row r="54" spans="1:23">
      <c r="F54" s="28"/>
      <c r="G54" s="28"/>
      <c r="W54" s="5"/>
    </row>
    <row r="55" spans="1:23">
      <c r="F55" s="5"/>
      <c r="G55" s="1"/>
      <c r="K55" s="4" t="s">
        <v>109</v>
      </c>
      <c r="S55" s="45" t="s">
        <v>168</v>
      </c>
      <c r="W55" s="5"/>
    </row>
    <row r="56" spans="1:23">
      <c r="A56" s="1" t="s">
        <v>58</v>
      </c>
      <c r="F56" s="28">
        <f>148677097+8543670-9645052</f>
        <v>147575715</v>
      </c>
      <c r="G56" s="28"/>
      <c r="W56" s="5"/>
    </row>
    <row r="57" spans="1:23">
      <c r="A57" s="1" t="s">
        <v>55</v>
      </c>
      <c r="F57" s="30">
        <v>1974746</v>
      </c>
      <c r="G57" s="30">
        <f>+F56-F57</f>
        <v>145600969</v>
      </c>
      <c r="K57" s="1" t="s">
        <v>99</v>
      </c>
      <c r="O57" s="55">
        <v>0</v>
      </c>
      <c r="P57" s="55"/>
      <c r="Q57" s="55"/>
      <c r="S57" s="1" t="s">
        <v>46</v>
      </c>
      <c r="W57" s="5">
        <v>125487660</v>
      </c>
    </row>
    <row r="58" spans="1:23" ht="15.75" thickBot="1">
      <c r="A58" s="13" t="s">
        <v>108</v>
      </c>
      <c r="F58" s="28"/>
      <c r="G58" s="31">
        <f>+G57-G53</f>
        <v>-15539567</v>
      </c>
      <c r="I58" s="34"/>
      <c r="K58" s="1" t="s">
        <v>102</v>
      </c>
      <c r="O58" s="55">
        <v>0</v>
      </c>
      <c r="P58" s="63"/>
      <c r="Q58" s="63"/>
      <c r="W58" s="5"/>
    </row>
    <row r="59" spans="1:23" ht="15.75" thickTop="1">
      <c r="F59" s="5"/>
      <c r="G59" s="34"/>
      <c r="K59" s="1" t="s">
        <v>111</v>
      </c>
      <c r="O59" s="64">
        <v>0</v>
      </c>
      <c r="P59" s="63">
        <f>+O57+O58+O59</f>
        <v>0</v>
      </c>
      <c r="Q59" s="63"/>
      <c r="S59" s="1" t="s">
        <v>167</v>
      </c>
      <c r="W59" s="5">
        <v>142632262</v>
      </c>
    </row>
    <row r="60" spans="1:23" ht="15.75" thickBot="1">
      <c r="I60" s="34">
        <f>G47+G58</f>
        <v>18740698</v>
      </c>
      <c r="O60" s="55"/>
      <c r="P60" s="63"/>
      <c r="Q60" s="63"/>
      <c r="W60" s="26">
        <f>W57-W59</f>
        <v>-17144602</v>
      </c>
    </row>
    <row r="61" spans="1:23" ht="15.75" thickTop="1">
      <c r="D61" s="45" t="s">
        <v>165</v>
      </c>
      <c r="I61" s="34"/>
      <c r="K61" s="1" t="s">
        <v>103</v>
      </c>
      <c r="O61" s="55">
        <v>0</v>
      </c>
      <c r="P61" s="55"/>
      <c r="Q61" s="55"/>
      <c r="W61" s="5"/>
    </row>
    <row r="62" spans="1:23">
      <c r="K62" s="1" t="s">
        <v>113</v>
      </c>
      <c r="O62" s="64">
        <v>0</v>
      </c>
      <c r="P62" s="64">
        <f>+O61+O62</f>
        <v>0</v>
      </c>
      <c r="Q62" s="63"/>
    </row>
    <row r="63" spans="1:23" ht="15.75" thickBot="1">
      <c r="A63" s="4" t="s">
        <v>110</v>
      </c>
      <c r="E63" s="5"/>
      <c r="G63" s="1"/>
      <c r="N63" s="13" t="s">
        <v>107</v>
      </c>
      <c r="O63" s="55"/>
      <c r="P63" s="70">
        <f>+P59-P62</f>
        <v>0</v>
      </c>
      <c r="Q63" s="63"/>
    </row>
    <row r="64" spans="1:23" ht="15.75" thickTop="1">
      <c r="E64" s="5"/>
      <c r="G64" s="1"/>
      <c r="O64" s="55"/>
      <c r="P64" s="55"/>
      <c r="Q64" s="55"/>
    </row>
    <row r="65" spans="1:18">
      <c r="A65" s="1" t="s">
        <v>46</v>
      </c>
      <c r="E65" s="5">
        <v>2077259</v>
      </c>
      <c r="G65" s="1"/>
    </row>
    <row r="66" spans="1:18">
      <c r="A66" s="1" t="s">
        <v>112</v>
      </c>
      <c r="E66" s="10">
        <v>581399</v>
      </c>
      <c r="F66" s="1">
        <f>+E65-E66</f>
        <v>1495860</v>
      </c>
      <c r="G66" s="1"/>
      <c r="O66" s="1"/>
      <c r="R66" s="2"/>
    </row>
    <row r="67" spans="1:18">
      <c r="E67" s="5"/>
      <c r="G67" s="1"/>
      <c r="K67" s="4" t="s">
        <v>116</v>
      </c>
      <c r="O67" s="1"/>
      <c r="R67" s="2"/>
    </row>
    <row r="68" spans="1:18">
      <c r="A68" s="1" t="s">
        <v>74</v>
      </c>
      <c r="E68" s="5">
        <v>419961</v>
      </c>
      <c r="G68" s="1"/>
      <c r="O68" s="1"/>
      <c r="R68" s="2"/>
    </row>
    <row r="69" spans="1:18">
      <c r="A69" s="1" t="s">
        <v>114</v>
      </c>
      <c r="E69" s="10">
        <v>419961</v>
      </c>
      <c r="F69" s="55">
        <f>+E68-E69</f>
        <v>0</v>
      </c>
      <c r="G69" s="1"/>
      <c r="K69" s="1" t="s">
        <v>118</v>
      </c>
      <c r="O69" s="1"/>
      <c r="P69" s="2">
        <v>419961</v>
      </c>
      <c r="Q69" s="2"/>
    </row>
    <row r="70" spans="1:18">
      <c r="E70" s="5"/>
      <c r="F70" s="12"/>
      <c r="G70" s="1"/>
      <c r="O70" s="1"/>
      <c r="P70" s="2"/>
      <c r="Q70" s="2"/>
    </row>
    <row r="71" spans="1:18" ht="15.75" thickBot="1">
      <c r="A71" s="13" t="s">
        <v>115</v>
      </c>
      <c r="E71" s="5"/>
      <c r="F71" s="14">
        <f>F66-F69</f>
        <v>1495860</v>
      </c>
      <c r="G71" s="1"/>
      <c r="K71" s="1" t="s">
        <v>119</v>
      </c>
      <c r="O71" s="1"/>
      <c r="P71" s="11">
        <v>864741</v>
      </c>
      <c r="Q71" s="8"/>
    </row>
    <row r="72" spans="1:18" ht="15.75" thickTop="1">
      <c r="O72" s="1"/>
      <c r="P72" s="2">
        <f>+P69+P71</f>
        <v>1284702</v>
      </c>
      <c r="Q72" s="2"/>
    </row>
    <row r="73" spans="1:18">
      <c r="K73" s="1" t="s">
        <v>112</v>
      </c>
      <c r="O73" s="1"/>
      <c r="P73" s="1">
        <v>581399</v>
      </c>
    </row>
    <row r="74" spans="1:18" ht="15.75" thickBot="1">
      <c r="A74" s="4" t="s">
        <v>117</v>
      </c>
      <c r="N74" s="13" t="s">
        <v>121</v>
      </c>
      <c r="O74" s="1"/>
      <c r="P74" s="17">
        <f>+P72-P73</f>
        <v>703303</v>
      </c>
      <c r="Q74" s="8"/>
    </row>
    <row r="75" spans="1:18" ht="15.75" thickTop="1">
      <c r="O75" s="1"/>
      <c r="P75" s="2"/>
      <c r="Q75" s="2"/>
    </row>
    <row r="76" spans="1:18">
      <c r="A76" s="1" t="s">
        <v>46</v>
      </c>
      <c r="F76" s="2">
        <v>199100</v>
      </c>
      <c r="G76" s="1"/>
      <c r="O76" s="1"/>
      <c r="P76" s="2"/>
      <c r="Q76" s="2"/>
    </row>
    <row r="77" spans="1:18">
      <c r="F77" s="2"/>
      <c r="G77" s="1"/>
      <c r="K77" s="4" t="s">
        <v>123</v>
      </c>
      <c r="O77" s="1"/>
      <c r="P77" s="2"/>
      <c r="Q77" s="2"/>
    </row>
    <row r="78" spans="1:18">
      <c r="A78" s="1" t="s">
        <v>74</v>
      </c>
      <c r="F78" s="2">
        <v>99100</v>
      </c>
      <c r="G78" s="1"/>
      <c r="K78" s="1" t="s">
        <v>124</v>
      </c>
      <c r="O78" s="28">
        <v>269701</v>
      </c>
      <c r="P78" s="2"/>
      <c r="Q78" s="2"/>
    </row>
    <row r="79" spans="1:18" ht="15.75" thickBot="1">
      <c r="A79" s="13" t="s">
        <v>120</v>
      </c>
      <c r="F79" s="17">
        <f>+F78-F76</f>
        <v>-100000</v>
      </c>
      <c r="G79" s="1"/>
      <c r="K79" s="1" t="s">
        <v>125</v>
      </c>
      <c r="O79" s="28">
        <v>1515325</v>
      </c>
      <c r="P79" s="2"/>
      <c r="Q79" s="2"/>
    </row>
    <row r="80" spans="1:18" ht="15.75" thickTop="1">
      <c r="F80" s="2"/>
      <c r="G80" s="1"/>
      <c r="O80" s="28"/>
      <c r="P80" s="2"/>
      <c r="Q80" s="2"/>
    </row>
    <row r="81" spans="1:17">
      <c r="K81" s="1" t="s">
        <v>126</v>
      </c>
      <c r="O81" s="30">
        <v>29849963</v>
      </c>
      <c r="P81" s="11">
        <f>SUM(O78:O81)</f>
        <v>31634989</v>
      </c>
      <c r="Q81" s="8"/>
    </row>
    <row r="82" spans="1:17">
      <c r="A82" s="1" t="s">
        <v>122</v>
      </c>
      <c r="O82" s="1"/>
      <c r="P82" s="2">
        <f>+P79+P81+P78</f>
        <v>31634989</v>
      </c>
      <c r="Q82" s="2"/>
    </row>
    <row r="83" spans="1:17">
      <c r="K83" s="1" t="s">
        <v>47</v>
      </c>
      <c r="O83" s="8">
        <v>1106611</v>
      </c>
    </row>
    <row r="84" spans="1:17">
      <c r="A84" s="1" t="s">
        <v>46</v>
      </c>
      <c r="F84" s="2">
        <v>3650889</v>
      </c>
      <c r="G84" s="1"/>
      <c r="K84" s="1" t="s">
        <v>135</v>
      </c>
      <c r="O84" s="12">
        <v>638456</v>
      </c>
      <c r="P84" s="2">
        <f>SUM(O83:O84)</f>
        <v>1745067</v>
      </c>
      <c r="Q84" s="2"/>
    </row>
    <row r="85" spans="1:17" ht="15.75" thickBot="1">
      <c r="F85" s="2"/>
      <c r="G85" s="1"/>
      <c r="P85" s="17">
        <f>+P84-P82</f>
        <v>-29889922</v>
      </c>
      <c r="Q85" s="8"/>
    </row>
    <row r="86" spans="1:17" ht="15.75" thickTop="1">
      <c r="A86" s="1" t="s">
        <v>74</v>
      </c>
      <c r="F86" s="2">
        <v>1758165</v>
      </c>
      <c r="G86" s="1"/>
    </row>
    <row r="87" spans="1:17" ht="15.75" thickBot="1">
      <c r="A87" s="13" t="s">
        <v>120</v>
      </c>
      <c r="F87" s="17">
        <f>+F84-F86</f>
        <v>1892724</v>
      </c>
      <c r="G87" s="1"/>
    </row>
    <row r="88" spans="1:17" ht="15.75" thickTop="1"/>
    <row r="89" spans="1:17">
      <c r="A89" s="45" t="s">
        <v>134</v>
      </c>
    </row>
    <row r="90" spans="1:17">
      <c r="A90" s="1" t="s">
        <v>155</v>
      </c>
      <c r="F90" s="1">
        <v>11880977</v>
      </c>
    </row>
    <row r="91" spans="1:17">
      <c r="A91" s="1" t="s">
        <v>131</v>
      </c>
      <c r="F91" s="1">
        <v>24391888</v>
      </c>
    </row>
    <row r="92" spans="1:17" ht="15.75" thickBot="1">
      <c r="F92" s="46">
        <f>+F90-F91</f>
        <v>-12510911</v>
      </c>
      <c r="G92" s="1"/>
    </row>
  </sheetData>
  <mergeCells count="1">
    <mergeCell ref="S2:V2"/>
  </mergeCells>
  <hyperlinks>
    <hyperlink ref="G14" r:id="rId1" display="=-@sum(+G12+G13)"/>
    <hyperlink ref="P38" r:id="rId2" display="=-@sum(+P36-P37)"/>
  </hyperlinks>
  <pageMargins left="0.7" right="0.7" top="0.75" bottom="0.75" header="0.3" footer="0.3"/>
  <pageSetup scale="70" orientation="portrait" r:id="rId3"/>
  <rowBreaks count="1" manualBreakCount="1">
    <brk id="62" max="24" man="1"/>
  </rowBreaks>
  <colBreaks count="2" manualBreakCount="2">
    <brk id="9" max="94" man="1"/>
    <brk id="18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1"/>
  <sheetViews>
    <sheetView view="pageBreakPreview" topLeftCell="A28" zoomScale="60" workbookViewId="0">
      <selection activeCell="I65" sqref="I65"/>
    </sheetView>
  </sheetViews>
  <sheetFormatPr defaultRowHeight="15"/>
  <cols>
    <col min="1" max="3" width="9.140625" style="1" customWidth="1"/>
    <col min="4" max="4" width="23.85546875" style="1" customWidth="1"/>
    <col min="5" max="5" width="10" style="1" bestFit="1" customWidth="1"/>
    <col min="6" max="6" width="15.28515625" style="1" bestFit="1" customWidth="1"/>
    <col min="7" max="7" width="15.28515625" style="2" bestFit="1" customWidth="1"/>
    <col min="8" max="8" width="9.140625" style="1" customWidth="1"/>
    <col min="9" max="9" width="17.85546875" style="1" customWidth="1"/>
    <col min="10" max="13" width="9.140625" style="1" customWidth="1"/>
    <col min="14" max="14" width="23.85546875" style="1" customWidth="1"/>
    <col min="15" max="15" width="17.85546875" style="5" customWidth="1"/>
    <col min="16" max="16" width="13.42578125" style="1" bestFit="1" customWidth="1"/>
    <col min="17" max="17" width="13.28515625" style="1" bestFit="1" customWidth="1"/>
    <col min="18" max="18" width="29.28515625" style="1" customWidth="1"/>
    <col min="19" max="19" width="18.28515625" style="1" customWidth="1"/>
    <col min="20" max="20" width="17.28515625" style="1" customWidth="1"/>
    <col min="21" max="21" width="15.42578125" style="1" customWidth="1"/>
    <col min="22" max="22" width="17.42578125" style="1" customWidth="1"/>
    <col min="23" max="23" width="16.85546875" style="1" customWidth="1"/>
    <col min="24" max="24" width="14.140625" style="1" bestFit="1" customWidth="1"/>
    <col min="25" max="25" width="12.5703125" style="1" customWidth="1"/>
    <col min="26" max="26" width="11.85546875" style="1" customWidth="1"/>
    <col min="27" max="27" width="15.85546875" style="1" customWidth="1"/>
    <col min="28" max="16384" width="9.140625" style="1"/>
  </cols>
  <sheetData>
    <row r="1" spans="1:24">
      <c r="A1" s="4" t="s">
        <v>161</v>
      </c>
    </row>
    <row r="2" spans="1:24">
      <c r="K2" s="4" t="s">
        <v>43</v>
      </c>
      <c r="R2" s="199" t="s">
        <v>32</v>
      </c>
      <c r="S2" s="199"/>
      <c r="T2" s="199"/>
      <c r="U2" s="199"/>
    </row>
    <row r="3" spans="1:24">
      <c r="K3" s="1" t="s">
        <v>46</v>
      </c>
      <c r="O3" s="5">
        <f>68363976+71709407</f>
        <v>140073383</v>
      </c>
      <c r="R3" s="6" t="s">
        <v>44</v>
      </c>
    </row>
    <row r="4" spans="1:24">
      <c r="A4" s="4" t="s">
        <v>45</v>
      </c>
      <c r="K4" s="1" t="s">
        <v>47</v>
      </c>
      <c r="O4" s="5">
        <v>1515325</v>
      </c>
    </row>
    <row r="5" spans="1:24">
      <c r="K5" s="1" t="s">
        <v>54</v>
      </c>
      <c r="O5" s="5">
        <v>0</v>
      </c>
      <c r="R5" s="6" t="s">
        <v>48</v>
      </c>
      <c r="S5" s="7" t="s">
        <v>49</v>
      </c>
      <c r="T5" s="7" t="s">
        <v>50</v>
      </c>
      <c r="U5" s="7" t="s">
        <v>51</v>
      </c>
      <c r="V5" s="7" t="s">
        <v>52</v>
      </c>
      <c r="W5" s="7"/>
    </row>
    <row r="6" spans="1:24">
      <c r="A6" s="1" t="s">
        <v>53</v>
      </c>
      <c r="F6" s="8">
        <v>0</v>
      </c>
      <c r="G6" s="8"/>
      <c r="H6" s="9"/>
      <c r="K6" s="1" t="s">
        <v>128</v>
      </c>
      <c r="O6" s="10">
        <v>269701</v>
      </c>
      <c r="P6" s="5">
        <f>O3-O4-O5-O6</f>
        <v>138288357</v>
      </c>
      <c r="S6" s="7" t="s">
        <v>163</v>
      </c>
      <c r="T6" s="7"/>
      <c r="U6" s="7"/>
      <c r="V6" s="7" t="s">
        <v>35</v>
      </c>
      <c r="W6" s="7"/>
    </row>
    <row r="7" spans="1:24">
      <c r="A7" s="1" t="s">
        <v>55</v>
      </c>
      <c r="F7" s="11">
        <v>2419608</v>
      </c>
      <c r="G7" s="8">
        <f>+F6-F7</f>
        <v>-2419608</v>
      </c>
      <c r="H7" s="9"/>
      <c r="S7" s="7"/>
    </row>
    <row r="8" spans="1:24">
      <c r="F8" s="9"/>
      <c r="H8" s="9"/>
      <c r="K8" s="1" t="s">
        <v>58</v>
      </c>
      <c r="O8" s="5">
        <f>46075131+90858643</f>
        <v>136933774</v>
      </c>
      <c r="R8" s="1" t="s">
        <v>56</v>
      </c>
      <c r="S8" s="28">
        <v>0</v>
      </c>
      <c r="T8" s="28">
        <v>0</v>
      </c>
      <c r="U8" s="28">
        <v>0</v>
      </c>
      <c r="V8" s="28">
        <f>+S8+T8-U8</f>
        <v>0</v>
      </c>
    </row>
    <row r="9" spans="1:24">
      <c r="A9" s="1" t="s">
        <v>57</v>
      </c>
      <c r="F9" s="9"/>
      <c r="G9" s="11">
        <v>0</v>
      </c>
      <c r="H9" s="9"/>
      <c r="K9" s="1" t="s">
        <v>59</v>
      </c>
      <c r="O9" s="5">
        <v>1326414</v>
      </c>
      <c r="S9" s="28"/>
      <c r="T9" s="28"/>
      <c r="U9" s="28"/>
      <c r="V9" s="28"/>
    </row>
    <row r="10" spans="1:24">
      <c r="F10" s="9"/>
      <c r="G10" s="8">
        <f>+G7+G9</f>
        <v>-2419608</v>
      </c>
      <c r="H10" s="9"/>
      <c r="K10" s="1" t="s">
        <v>62</v>
      </c>
      <c r="O10" s="5">
        <v>0</v>
      </c>
      <c r="R10" s="1" t="s">
        <v>60</v>
      </c>
      <c r="S10" s="71">
        <v>64081208</v>
      </c>
      <c r="T10" s="71">
        <v>30000000</v>
      </c>
      <c r="U10" s="71">
        <v>0</v>
      </c>
      <c r="V10" s="71">
        <v>84811099</v>
      </c>
      <c r="W10" s="72"/>
      <c r="X10" s="34" t="s">
        <v>39</v>
      </c>
    </row>
    <row r="11" spans="1:24">
      <c r="A11" s="4" t="s">
        <v>61</v>
      </c>
      <c r="F11" s="9"/>
      <c r="G11" s="8"/>
      <c r="H11" s="9"/>
      <c r="K11" s="1" t="s">
        <v>128</v>
      </c>
      <c r="O11" s="10">
        <v>322699</v>
      </c>
      <c r="P11" s="10">
        <f>O8-O9-O10-O11</f>
        <v>135284661</v>
      </c>
      <c r="S11" s="71"/>
      <c r="T11" s="71"/>
      <c r="U11" s="71"/>
      <c r="V11" s="71" t="s">
        <v>39</v>
      </c>
      <c r="W11" s="47"/>
    </row>
    <row r="12" spans="1:24" ht="15.75" thickBot="1">
      <c r="A12" s="1" t="s">
        <v>63</v>
      </c>
      <c r="F12" s="8"/>
      <c r="G12" s="8">
        <v>0</v>
      </c>
      <c r="H12" s="9"/>
      <c r="K12" s="13" t="s">
        <v>64</v>
      </c>
      <c r="P12" s="14">
        <f>+P6-P11</f>
        <v>3003696</v>
      </c>
      <c r="R12" s="6" t="s">
        <v>65</v>
      </c>
      <c r="S12" s="71"/>
      <c r="T12" s="71"/>
      <c r="U12" s="71"/>
      <c r="V12" s="71" t="s">
        <v>39</v>
      </c>
      <c r="W12" s="47"/>
    </row>
    <row r="13" spans="1:24" ht="15.75" thickTop="1">
      <c r="A13" s="1" t="s">
        <v>66</v>
      </c>
      <c r="F13" s="3"/>
      <c r="G13" s="11">
        <v>-1974746</v>
      </c>
      <c r="H13" s="9"/>
      <c r="R13" s="1" t="s">
        <v>67</v>
      </c>
      <c r="S13" s="71">
        <v>10122</v>
      </c>
      <c r="T13" s="71">
        <v>0</v>
      </c>
      <c r="U13" s="71">
        <v>0</v>
      </c>
      <c r="V13" s="71">
        <v>0</v>
      </c>
      <c r="W13" s="47"/>
    </row>
    <row r="14" spans="1:24" ht="15.75" thickBot="1">
      <c r="D14" s="13" t="s">
        <v>68</v>
      </c>
      <c r="F14" s="9"/>
      <c r="G14" s="37">
        <f>+G10+G13</f>
        <v>-4394354</v>
      </c>
      <c r="H14" s="9"/>
      <c r="K14" s="56" t="s">
        <v>164</v>
      </c>
      <c r="L14" s="47"/>
      <c r="M14" s="47"/>
      <c r="N14" s="47"/>
      <c r="O14" s="48"/>
      <c r="P14" s="47"/>
      <c r="Q14" s="61">
        <f>P12+F86+F91</f>
        <v>3160905</v>
      </c>
      <c r="R14" s="1" t="s">
        <v>129</v>
      </c>
      <c r="S14" s="71">
        <v>2353336</v>
      </c>
      <c r="T14" s="71">
        <v>4000000</v>
      </c>
      <c r="U14" s="71">
        <v>0</v>
      </c>
      <c r="V14" s="71">
        <v>4525087</v>
      </c>
      <c r="W14" s="47"/>
    </row>
    <row r="15" spans="1:24" ht="15.75" thickTop="1">
      <c r="F15" s="9"/>
      <c r="G15" s="8"/>
      <c r="H15" s="9"/>
      <c r="K15" s="57"/>
      <c r="L15" s="58"/>
      <c r="M15" s="58"/>
      <c r="N15" s="58"/>
      <c r="O15" s="59"/>
      <c r="P15" s="58"/>
      <c r="Q15" s="9"/>
      <c r="R15" s="33" t="s">
        <v>70</v>
      </c>
      <c r="S15" s="71"/>
      <c r="T15" s="71"/>
      <c r="U15" s="71"/>
      <c r="V15" s="71" t="s">
        <v>39</v>
      </c>
      <c r="W15" s="47"/>
      <c r="X15" s="34" t="s">
        <v>39</v>
      </c>
    </row>
    <row r="16" spans="1:24">
      <c r="F16" s="9"/>
      <c r="G16" s="8"/>
      <c r="H16" s="9"/>
      <c r="K16" s="58"/>
      <c r="L16" s="58"/>
      <c r="M16" s="58"/>
      <c r="N16" s="58"/>
      <c r="O16" s="59"/>
      <c r="P16" s="58"/>
      <c r="Q16" s="9"/>
      <c r="R16" s="1" t="s">
        <v>130</v>
      </c>
      <c r="S16" s="71">
        <v>20669000</v>
      </c>
      <c r="T16" s="71">
        <v>0</v>
      </c>
      <c r="U16" s="71">
        <v>0</v>
      </c>
      <c r="V16" s="71">
        <v>20843000</v>
      </c>
      <c r="W16" s="47"/>
    </row>
    <row r="17" spans="1:27">
      <c r="A17" s="4" t="s">
        <v>71</v>
      </c>
      <c r="F17" s="9"/>
      <c r="G17" s="8"/>
      <c r="H17" s="9"/>
      <c r="K17" s="4" t="s">
        <v>84</v>
      </c>
      <c r="R17" s="1" t="s">
        <v>91</v>
      </c>
      <c r="S17" s="71">
        <f>31648560-31207560</f>
        <v>441000</v>
      </c>
      <c r="T17" s="71">
        <v>0</v>
      </c>
      <c r="U17" s="71">
        <v>0</v>
      </c>
      <c r="V17" s="71">
        <f>38445610-38024610</f>
        <v>421000</v>
      </c>
      <c r="W17" s="47"/>
    </row>
    <row r="18" spans="1:27">
      <c r="S18" s="71"/>
      <c r="T18" s="71"/>
      <c r="U18" s="71"/>
      <c r="V18" s="71">
        <f>+S18+T18-U18</f>
        <v>0</v>
      </c>
      <c r="W18" s="47"/>
    </row>
    <row r="19" spans="1:27">
      <c r="A19" s="1" t="s">
        <v>73</v>
      </c>
      <c r="K19" s="1" t="s">
        <v>87</v>
      </c>
      <c r="P19" s="1">
        <v>1145524</v>
      </c>
      <c r="S19" s="71"/>
      <c r="T19" s="71"/>
      <c r="U19" s="71"/>
      <c r="V19" s="71">
        <f>+S19+T19-U19</f>
        <v>0</v>
      </c>
      <c r="W19" s="47"/>
    </row>
    <row r="20" spans="1:27">
      <c r="S20" s="73"/>
      <c r="T20" s="73"/>
      <c r="U20" s="73"/>
      <c r="V20" s="71">
        <f>+S20+T20-U20</f>
        <v>0</v>
      </c>
      <c r="W20" s="58"/>
    </row>
    <row r="21" spans="1:27" ht="15.75" thickBot="1">
      <c r="A21" s="1" t="s">
        <v>75</v>
      </c>
      <c r="G21" s="11"/>
      <c r="K21" s="1" t="s">
        <v>90</v>
      </c>
      <c r="P21" s="12">
        <v>5136240</v>
      </c>
      <c r="S21" s="74">
        <f>SUM(S8:S20)</f>
        <v>87554666</v>
      </c>
      <c r="T21" s="74">
        <f>SUM(T8:T20)</f>
        <v>34000000</v>
      </c>
      <c r="U21" s="74">
        <f>SUM(U8:U20)</f>
        <v>0</v>
      </c>
      <c r="V21" s="74">
        <f>SUM(V8:V20)</f>
        <v>110600186</v>
      </c>
      <c r="W21" s="75"/>
      <c r="X21" s="35">
        <f>+V21-S21</f>
        <v>23045520</v>
      </c>
    </row>
    <row r="22" spans="1:27" ht="15.75" thickTop="1">
      <c r="G22" s="2">
        <f>+G19+G20</f>
        <v>0</v>
      </c>
      <c r="P22" s="1">
        <f>+P19+P21</f>
        <v>6281764</v>
      </c>
    </row>
    <row r="23" spans="1:27">
      <c r="A23" s="1" t="s">
        <v>77</v>
      </c>
      <c r="G23" s="11"/>
      <c r="K23" s="1" t="s">
        <v>93</v>
      </c>
      <c r="P23" s="12">
        <v>0</v>
      </c>
      <c r="R23" s="40" t="s">
        <v>50</v>
      </c>
      <c r="S23" s="78">
        <f>+T21</f>
        <v>34000000</v>
      </c>
      <c r="T23" s="54"/>
      <c r="U23" s="54"/>
    </row>
    <row r="24" spans="1:27" ht="15.75" thickBot="1">
      <c r="D24" s="13" t="s">
        <v>79</v>
      </c>
      <c r="G24" s="17">
        <f>+G22-G23</f>
        <v>0</v>
      </c>
      <c r="N24" s="13" t="s">
        <v>95</v>
      </c>
      <c r="P24" s="38">
        <f>SUM(+P22-P23)</f>
        <v>6281764</v>
      </c>
      <c r="R24" s="1" t="s">
        <v>51</v>
      </c>
      <c r="S24" s="72">
        <f>S23-X21</f>
        <v>10954480</v>
      </c>
    </row>
    <row r="25" spans="1:27" ht="16.5" thickTop="1" thickBot="1">
      <c r="S25" s="41">
        <f>+S23-S24</f>
        <v>23045520</v>
      </c>
    </row>
    <row r="26" spans="1:27" ht="15.75" thickTop="1">
      <c r="V26" s="18"/>
      <c r="W26" s="18"/>
      <c r="X26" s="18"/>
      <c r="Y26" s="9"/>
      <c r="Z26" s="9"/>
      <c r="AA26" s="9"/>
    </row>
    <row r="27" spans="1:27">
      <c r="A27" s="4" t="s">
        <v>81</v>
      </c>
      <c r="K27" s="4" t="s">
        <v>97</v>
      </c>
      <c r="R27" s="6" t="s">
        <v>80</v>
      </c>
      <c r="S27" s="18"/>
      <c r="T27" s="7" t="s">
        <v>0</v>
      </c>
      <c r="U27" s="7" t="s">
        <v>0</v>
      </c>
      <c r="V27" s="18"/>
      <c r="W27" s="18"/>
      <c r="X27" s="18"/>
      <c r="Y27" s="9"/>
      <c r="Z27" s="9"/>
      <c r="AA27" s="9"/>
    </row>
    <row r="28" spans="1:27">
      <c r="S28" s="18"/>
      <c r="T28" s="7" t="s">
        <v>163</v>
      </c>
      <c r="U28" s="7" t="s">
        <v>131</v>
      </c>
      <c r="V28" s="9"/>
      <c r="W28" s="9"/>
      <c r="X28" s="18"/>
      <c r="Y28" s="9"/>
      <c r="Z28" s="9"/>
      <c r="AA28" s="9"/>
    </row>
    <row r="29" spans="1:27">
      <c r="A29" s="1" t="s">
        <v>46</v>
      </c>
      <c r="F29" s="2">
        <v>119907652</v>
      </c>
      <c r="K29" s="1" t="s">
        <v>99</v>
      </c>
      <c r="O29" s="5">
        <v>60821686</v>
      </c>
      <c r="R29" s="6" t="s">
        <v>44</v>
      </c>
      <c r="S29" s="9"/>
      <c r="T29" s="73"/>
      <c r="U29" s="73"/>
      <c r="V29" s="29"/>
      <c r="W29" s="9"/>
      <c r="X29" s="9"/>
      <c r="Y29" s="9"/>
      <c r="Z29" s="9"/>
      <c r="AA29" s="9"/>
    </row>
    <row r="30" spans="1:27">
      <c r="A30" s="1" t="s">
        <v>162</v>
      </c>
      <c r="F30" s="11">
        <v>90500000</v>
      </c>
      <c r="K30" s="1" t="s">
        <v>101</v>
      </c>
      <c r="O30" s="10">
        <v>3263104</v>
      </c>
      <c r="P30" s="5">
        <f>+O29-O30</f>
        <v>57558582</v>
      </c>
      <c r="R30" s="1" t="s">
        <v>83</v>
      </c>
      <c r="S30" s="9"/>
      <c r="T30" s="73">
        <v>38236253</v>
      </c>
      <c r="U30" s="73">
        <v>2348033</v>
      </c>
      <c r="V30" s="42" t="s">
        <v>50</v>
      </c>
      <c r="X30" s="78">
        <v>3542111</v>
      </c>
      <c r="Y30" s="9"/>
      <c r="Z30" s="9"/>
      <c r="AA30" s="9"/>
    </row>
    <row r="31" spans="1:27">
      <c r="G31" s="2">
        <f>F29-F30</f>
        <v>29407652</v>
      </c>
      <c r="K31" s="1" t="s">
        <v>102</v>
      </c>
      <c r="P31" s="10">
        <v>12623147</v>
      </c>
      <c r="R31" s="1" t="s">
        <v>132</v>
      </c>
      <c r="S31" s="9"/>
      <c r="T31" s="73">
        <v>128544133</v>
      </c>
      <c r="U31" s="73">
        <v>80046115</v>
      </c>
      <c r="V31" s="43" t="s">
        <v>51</v>
      </c>
      <c r="X31" s="72">
        <v>51348053</v>
      </c>
      <c r="Y31" s="9"/>
      <c r="Z31" s="9"/>
      <c r="AA31" s="9"/>
    </row>
    <row r="32" spans="1:27" ht="15.75" thickBot="1">
      <c r="O32" s="25"/>
      <c r="P32" s="8">
        <f>SUM(P30:P31)</f>
        <v>70181729</v>
      </c>
      <c r="R32" s="1" t="s">
        <v>86</v>
      </c>
      <c r="S32" s="9"/>
      <c r="T32" s="76">
        <v>1500000</v>
      </c>
      <c r="U32" s="76">
        <v>2900000</v>
      </c>
      <c r="V32" s="43"/>
      <c r="X32" s="79">
        <f>+X30-X31</f>
        <v>-47805942</v>
      </c>
      <c r="Y32" s="9"/>
      <c r="Z32" s="9"/>
      <c r="AA32" s="9"/>
    </row>
    <row r="33" spans="1:27" ht="15.75" thickTop="1">
      <c r="A33" s="1" t="s">
        <v>58</v>
      </c>
      <c r="F33" s="2">
        <v>134009716</v>
      </c>
      <c r="P33" s="9"/>
      <c r="R33" s="6"/>
      <c r="S33" s="9"/>
      <c r="T33" s="73">
        <f>SUM(T30:T32)</f>
        <v>168280386</v>
      </c>
      <c r="U33" s="73">
        <f>SUM(U30:U32)</f>
        <v>85294148</v>
      </c>
      <c r="V33" s="44"/>
      <c r="W33" s="9"/>
      <c r="X33" s="9"/>
      <c r="Y33" s="9"/>
      <c r="Z33" s="9"/>
      <c r="AA33" s="9"/>
    </row>
    <row r="34" spans="1:27">
      <c r="A34" s="1" t="s">
        <v>162</v>
      </c>
      <c r="F34" s="11">
        <v>80000000</v>
      </c>
      <c r="G34" s="2">
        <f>F33-F34</f>
        <v>54009716</v>
      </c>
      <c r="K34" s="1" t="s">
        <v>103</v>
      </c>
      <c r="O34" s="5">
        <v>46051066</v>
      </c>
      <c r="R34" s="6" t="s">
        <v>89</v>
      </c>
      <c r="S34" s="9"/>
      <c r="T34" s="73"/>
      <c r="U34" s="73"/>
      <c r="V34" s="44"/>
      <c r="W34" s="9"/>
      <c r="X34" s="9"/>
      <c r="Y34" s="9"/>
      <c r="Z34" s="9"/>
      <c r="AA34" s="9"/>
    </row>
    <row r="35" spans="1:27">
      <c r="K35" s="1" t="s">
        <v>104</v>
      </c>
      <c r="O35" s="5">
        <v>157231</v>
      </c>
      <c r="R35" s="1" t="s">
        <v>133</v>
      </c>
      <c r="S35" s="9"/>
      <c r="T35" s="73">
        <v>0</v>
      </c>
      <c r="U35" s="73">
        <v>3542111</v>
      </c>
      <c r="V35" s="44"/>
      <c r="W35" s="9"/>
      <c r="X35" s="9"/>
      <c r="Y35" s="9"/>
      <c r="Z35" s="9"/>
      <c r="AA35" s="9"/>
    </row>
    <row r="36" spans="1:27" ht="15.75" thickBot="1">
      <c r="A36" s="13" t="s">
        <v>85</v>
      </c>
      <c r="G36" s="17">
        <f>G31-G34</f>
        <v>-24602064</v>
      </c>
      <c r="K36" s="1" t="s">
        <v>105</v>
      </c>
      <c r="O36" s="10"/>
      <c r="P36" s="5">
        <f>+O34-O35</f>
        <v>45893835</v>
      </c>
      <c r="R36" s="19" t="s">
        <v>91</v>
      </c>
      <c r="S36" s="9"/>
      <c r="T36" s="73">
        <v>0</v>
      </c>
      <c r="U36" s="73"/>
      <c r="V36" s="44"/>
      <c r="W36" s="9"/>
      <c r="X36" s="9"/>
      <c r="Y36" s="9"/>
      <c r="Z36" s="9"/>
      <c r="AA36" s="9"/>
    </row>
    <row r="37" spans="1:27" ht="15.75" thickTop="1">
      <c r="K37" s="1" t="s">
        <v>106</v>
      </c>
      <c r="O37" s="25"/>
      <c r="P37" s="9">
        <v>0</v>
      </c>
      <c r="R37" s="1" t="s">
        <v>94</v>
      </c>
      <c r="S37" s="9"/>
      <c r="T37" s="76">
        <v>25699929</v>
      </c>
      <c r="U37" s="76">
        <v>57338114</v>
      </c>
      <c r="V37" s="44"/>
      <c r="W37" s="9"/>
      <c r="X37" s="9"/>
      <c r="Y37" s="9"/>
      <c r="Z37" s="9"/>
      <c r="AA37" s="9"/>
    </row>
    <row r="38" spans="1:27" ht="15.75" thickBot="1">
      <c r="A38" s="4" t="s">
        <v>88</v>
      </c>
      <c r="N38" s="13" t="s">
        <v>107</v>
      </c>
      <c r="P38" s="26">
        <f>+P32-P36</f>
        <v>24287894</v>
      </c>
      <c r="S38" s="9"/>
      <c r="T38" s="77">
        <f>SUM(T33:T37)</f>
        <v>193980315</v>
      </c>
      <c r="U38" s="77">
        <f>SUM(U33:U37)</f>
        <v>146174373</v>
      </c>
      <c r="V38" s="44">
        <f>+T38-U38</f>
        <v>47805942</v>
      </c>
      <c r="W38" s="9"/>
      <c r="X38" s="9"/>
      <c r="Y38" s="9"/>
      <c r="Z38" s="9"/>
      <c r="AA38" s="9"/>
    </row>
    <row r="39" spans="1:27" ht="15.75" thickTop="1">
      <c r="S39" s="9"/>
      <c r="T39" s="9"/>
      <c r="U39" s="9"/>
      <c r="V39" s="9"/>
      <c r="W39" s="9"/>
      <c r="X39" s="9"/>
      <c r="Y39" s="9"/>
      <c r="Z39" s="9"/>
      <c r="AA39" s="9"/>
    </row>
    <row r="40" spans="1:27" ht="15.75" thickBot="1">
      <c r="A40" s="1" t="s">
        <v>46</v>
      </c>
      <c r="F40" s="2">
        <f>31889158+18694609</f>
        <v>50583767</v>
      </c>
      <c r="S40" s="9"/>
      <c r="T40" s="20"/>
      <c r="U40" s="20"/>
      <c r="V40" s="9"/>
      <c r="W40" s="9"/>
      <c r="X40" s="9"/>
      <c r="Y40" s="9"/>
      <c r="Z40" s="9"/>
      <c r="AA40" s="9"/>
    </row>
    <row r="41" spans="1:27" ht="15.75" thickTop="1">
      <c r="A41" s="1" t="s">
        <v>92</v>
      </c>
      <c r="F41" s="12">
        <v>0</v>
      </c>
      <c r="G41" s="2">
        <f>+F40+F41</f>
        <v>50583767</v>
      </c>
      <c r="K41" s="4" t="s">
        <v>109</v>
      </c>
      <c r="S41" s="9"/>
      <c r="T41" s="29"/>
      <c r="U41" s="29"/>
      <c r="V41" s="9"/>
      <c r="W41" s="9"/>
      <c r="X41" s="9"/>
      <c r="Y41" s="9"/>
      <c r="Z41" s="9"/>
      <c r="AA41" s="9"/>
    </row>
    <row r="42" spans="1:27" ht="15.75" thickBot="1">
      <c r="H42" s="9"/>
      <c r="S42" s="23"/>
      <c r="T42" s="24"/>
      <c r="U42" s="24"/>
      <c r="V42" s="23"/>
      <c r="W42" s="23"/>
      <c r="X42" s="23"/>
      <c r="Y42" s="23"/>
      <c r="Z42" s="23"/>
      <c r="AA42" s="23"/>
    </row>
    <row r="43" spans="1:27" ht="15.75" thickTop="1">
      <c r="A43" s="1" t="s">
        <v>96</v>
      </c>
      <c r="G43" s="11">
        <v>0</v>
      </c>
      <c r="K43" s="1" t="s">
        <v>99</v>
      </c>
      <c r="O43" s="5">
        <v>0</v>
      </c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G44" s="2">
        <f>+G41-G43</f>
        <v>50583767</v>
      </c>
      <c r="K44" s="1" t="s">
        <v>102</v>
      </c>
      <c r="O44" s="5">
        <v>0</v>
      </c>
      <c r="P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" t="s">
        <v>74</v>
      </c>
      <c r="G45" s="21">
        <f>46007135+4715945</f>
        <v>50723080</v>
      </c>
      <c r="K45" s="1" t="s">
        <v>111</v>
      </c>
      <c r="O45" s="10">
        <v>0</v>
      </c>
      <c r="P45" s="8">
        <f>+O43+O44+O45</f>
        <v>0</v>
      </c>
      <c r="R45" s="45" t="s">
        <v>166</v>
      </c>
      <c r="V45" s="5"/>
    </row>
    <row r="46" spans="1:27" ht="15.75" thickBot="1">
      <c r="A46" s="13" t="s">
        <v>98</v>
      </c>
      <c r="G46" s="17">
        <f>+G44-G45</f>
        <v>-139313</v>
      </c>
      <c r="P46" s="9"/>
      <c r="V46" s="5"/>
    </row>
    <row r="47" spans="1:27" ht="15.75" thickTop="1">
      <c r="K47" s="1" t="s">
        <v>103</v>
      </c>
      <c r="O47" s="5">
        <v>0</v>
      </c>
      <c r="R47" s="1" t="s">
        <v>46</v>
      </c>
      <c r="V47" s="5">
        <f>148624796-38024610</f>
        <v>110600186</v>
      </c>
    </row>
    <row r="48" spans="1:27">
      <c r="A48" s="4" t="s">
        <v>100</v>
      </c>
      <c r="E48" s="5"/>
      <c r="G48" s="1"/>
      <c r="K48" s="1" t="s">
        <v>113</v>
      </c>
      <c r="O48" s="10">
        <v>0</v>
      </c>
      <c r="P48" s="12">
        <f>+O47+O48</f>
        <v>0</v>
      </c>
      <c r="V48" s="5"/>
    </row>
    <row r="49" spans="1:22" ht="15.75" thickBot="1">
      <c r="E49" s="5"/>
      <c r="G49" s="1"/>
      <c r="N49" s="13" t="s">
        <v>107</v>
      </c>
      <c r="P49" s="14">
        <f>+P45-P48</f>
        <v>0</v>
      </c>
      <c r="R49" s="1" t="s">
        <v>167</v>
      </c>
      <c r="V49" s="5">
        <f>118762226-31207560</f>
        <v>87554666</v>
      </c>
    </row>
    <row r="50" spans="1:22" ht="16.5" thickTop="1" thickBot="1">
      <c r="A50" s="1" t="s">
        <v>46</v>
      </c>
      <c r="F50" s="28">
        <f>176918518-38024610+18326859</f>
        <v>157220767</v>
      </c>
      <c r="G50" s="28"/>
      <c r="V50" s="26">
        <f>V47-V49</f>
        <v>23045520</v>
      </c>
    </row>
    <row r="51" spans="1:22" ht="15.75" thickTop="1">
      <c r="A51" s="1" t="s">
        <v>66</v>
      </c>
      <c r="F51" s="29">
        <v>1974746</v>
      </c>
      <c r="G51" s="28"/>
      <c r="V51" s="5"/>
    </row>
    <row r="52" spans="1:22">
      <c r="A52" s="1" t="s">
        <v>127</v>
      </c>
      <c r="F52" s="30">
        <v>9645052</v>
      </c>
      <c r="G52" s="28">
        <f>F50-F51-F52</f>
        <v>145600969</v>
      </c>
      <c r="I52" s="34"/>
      <c r="O52" s="1"/>
      <c r="Q52" s="2"/>
      <c r="V52" s="5"/>
    </row>
    <row r="53" spans="1:22">
      <c r="F53" s="28"/>
      <c r="G53" s="28"/>
      <c r="K53" s="4" t="s">
        <v>116</v>
      </c>
      <c r="O53" s="1"/>
      <c r="Q53" s="2"/>
      <c r="V53" s="5"/>
    </row>
    <row r="54" spans="1:22">
      <c r="F54" s="5"/>
      <c r="G54" s="1"/>
      <c r="O54" s="1"/>
      <c r="Q54" s="2"/>
      <c r="V54" s="5"/>
    </row>
    <row r="55" spans="1:22">
      <c r="A55" s="1" t="s">
        <v>58</v>
      </c>
      <c r="F55" s="28">
        <f>174209308-31207560+10416097</f>
        <v>153417845</v>
      </c>
      <c r="G55" s="28"/>
      <c r="K55" s="1" t="s">
        <v>118</v>
      </c>
      <c r="O55" s="1"/>
      <c r="P55" s="2">
        <v>1001805</v>
      </c>
      <c r="R55" s="45" t="s">
        <v>168</v>
      </c>
      <c r="V55" s="5"/>
    </row>
    <row r="56" spans="1:22">
      <c r="A56" s="1" t="s">
        <v>55</v>
      </c>
      <c r="F56" s="30">
        <v>0</v>
      </c>
      <c r="G56" s="30">
        <f>+F55-F56</f>
        <v>153417845</v>
      </c>
      <c r="O56" s="1"/>
      <c r="P56" s="2"/>
      <c r="V56" s="5"/>
    </row>
    <row r="57" spans="1:22" ht="15.75" thickBot="1">
      <c r="A57" s="13" t="s">
        <v>108</v>
      </c>
      <c r="F57" s="28"/>
      <c r="G57" s="31">
        <f>+G56-G52</f>
        <v>7816876</v>
      </c>
      <c r="K57" s="1" t="s">
        <v>119</v>
      </c>
      <c r="O57" s="1"/>
      <c r="P57" s="11">
        <v>1413719</v>
      </c>
      <c r="R57" s="1" t="s">
        <v>46</v>
      </c>
      <c r="V57" s="5">
        <v>193980315</v>
      </c>
    </row>
    <row r="58" spans="1:22" ht="15.75" thickTop="1">
      <c r="F58" s="5"/>
      <c r="G58" s="1"/>
      <c r="O58" s="1"/>
      <c r="P58" s="2">
        <f>+P55+P57</f>
        <v>2415524</v>
      </c>
      <c r="V58" s="5"/>
    </row>
    <row r="59" spans="1:22" ht="15.75" thickBot="1">
      <c r="E59" s="45" t="s">
        <v>165</v>
      </c>
      <c r="I59" s="62">
        <f>+G46+G57</f>
        <v>7677563</v>
      </c>
      <c r="K59" s="1" t="s">
        <v>112</v>
      </c>
      <c r="O59" s="1"/>
      <c r="P59" s="1">
        <v>419961</v>
      </c>
      <c r="R59" s="1" t="s">
        <v>167</v>
      </c>
      <c r="V59" s="5">
        <v>146174373</v>
      </c>
    </row>
    <row r="60" spans="1:22" ht="16.5" thickTop="1" thickBot="1">
      <c r="N60" s="13" t="s">
        <v>121</v>
      </c>
      <c r="O60" s="1"/>
      <c r="P60" s="17">
        <f>+P58-P59</f>
        <v>1995563</v>
      </c>
      <c r="V60" s="26">
        <f>V57-V59</f>
        <v>47805942</v>
      </c>
    </row>
    <row r="61" spans="1:22" ht="15.75" thickTop="1">
      <c r="O61" s="1"/>
      <c r="P61" s="2"/>
      <c r="V61" s="5"/>
    </row>
    <row r="62" spans="1:22">
      <c r="A62" s="4" t="s">
        <v>110</v>
      </c>
      <c r="E62" s="5"/>
      <c r="G62" s="1"/>
      <c r="O62" s="1"/>
      <c r="P62" s="2"/>
    </row>
    <row r="63" spans="1:22">
      <c r="E63" s="5"/>
      <c r="G63" s="1"/>
      <c r="K63" s="4" t="s">
        <v>123</v>
      </c>
      <c r="O63" s="1"/>
      <c r="P63" s="2"/>
    </row>
    <row r="64" spans="1:22">
      <c r="A64" s="1" t="s">
        <v>46</v>
      </c>
      <c r="E64" s="5">
        <v>419961</v>
      </c>
      <c r="G64" s="1"/>
      <c r="K64" s="1" t="s">
        <v>124</v>
      </c>
      <c r="O64" s="28">
        <v>322699</v>
      </c>
      <c r="P64" s="2"/>
    </row>
    <row r="65" spans="1:16">
      <c r="A65" s="1" t="s">
        <v>112</v>
      </c>
      <c r="E65" s="10">
        <v>419961</v>
      </c>
      <c r="F65" s="55">
        <f>+E64-E65</f>
        <v>0</v>
      </c>
      <c r="G65" s="1"/>
      <c r="K65" s="1" t="s">
        <v>125</v>
      </c>
      <c r="O65" s="28">
        <v>1326414</v>
      </c>
      <c r="P65" s="2"/>
    </row>
    <row r="66" spans="1:16">
      <c r="E66" s="5"/>
      <c r="G66" s="1"/>
      <c r="O66" s="28"/>
      <c r="P66" s="2"/>
    </row>
    <row r="67" spans="1:16">
      <c r="A67" s="1" t="s">
        <v>74</v>
      </c>
      <c r="E67" s="5">
        <v>1003425</v>
      </c>
      <c r="G67" s="1"/>
      <c r="K67" s="1" t="s">
        <v>126</v>
      </c>
      <c r="O67" s="30">
        <v>35533024</v>
      </c>
      <c r="P67" s="11">
        <f>SUM(O64:O67)</f>
        <v>37182137</v>
      </c>
    </row>
    <row r="68" spans="1:16">
      <c r="A68" s="1" t="s">
        <v>114</v>
      </c>
      <c r="E68" s="10">
        <v>1001805</v>
      </c>
      <c r="F68" s="1">
        <f>+E67-E68</f>
        <v>1620</v>
      </c>
      <c r="G68" s="1"/>
      <c r="O68" s="1"/>
      <c r="P68" s="2">
        <f>+P65+P67+P64</f>
        <v>37182137</v>
      </c>
    </row>
    <row r="69" spans="1:16">
      <c r="E69" s="5"/>
      <c r="F69" s="12"/>
      <c r="G69" s="1"/>
      <c r="K69" s="1" t="s">
        <v>47</v>
      </c>
      <c r="O69" s="8">
        <v>1515325</v>
      </c>
    </row>
    <row r="70" spans="1:16" ht="15.75" thickBot="1">
      <c r="A70" s="13" t="s">
        <v>115</v>
      </c>
      <c r="E70" s="5"/>
      <c r="F70" s="14">
        <f>+F68</f>
        <v>1620</v>
      </c>
      <c r="G70" s="1"/>
      <c r="K70" s="1" t="s">
        <v>135</v>
      </c>
      <c r="O70" s="12">
        <v>269701</v>
      </c>
      <c r="P70" s="2">
        <f>SUM(O69:O70)</f>
        <v>1785026</v>
      </c>
    </row>
    <row r="71" spans="1:16" ht="16.5" thickTop="1" thickBot="1">
      <c r="P71" s="17">
        <f>+P70-P68</f>
        <v>-35397111</v>
      </c>
    </row>
    <row r="72" spans="1:16" ht="15.75" thickTop="1"/>
    <row r="73" spans="1:16">
      <c r="A73" s="4" t="s">
        <v>117</v>
      </c>
    </row>
    <row r="75" spans="1:16">
      <c r="A75" s="1" t="s">
        <v>46</v>
      </c>
      <c r="F75" s="2">
        <v>3674100</v>
      </c>
      <c r="G75" s="1"/>
    </row>
    <row r="76" spans="1:16">
      <c r="F76" s="2"/>
      <c r="G76" s="1"/>
    </row>
    <row r="77" spans="1:16">
      <c r="A77" s="1" t="s">
        <v>74</v>
      </c>
      <c r="F77" s="2">
        <v>99100</v>
      </c>
      <c r="G77" s="1"/>
    </row>
    <row r="78" spans="1:16" ht="15.75" thickBot="1">
      <c r="A78" s="13" t="s">
        <v>120</v>
      </c>
      <c r="F78" s="17">
        <f>+F77-F75</f>
        <v>-3575000</v>
      </c>
      <c r="G78" s="1"/>
    </row>
    <row r="79" spans="1:16" ht="15.75" thickTop="1">
      <c r="F79" s="2"/>
      <c r="G79" s="1"/>
    </row>
    <row r="81" spans="1:7">
      <c r="A81" s="1" t="s">
        <v>122</v>
      </c>
    </row>
    <row r="83" spans="1:7">
      <c r="A83" s="1" t="s">
        <v>46</v>
      </c>
      <c r="F83" s="2">
        <v>1758165</v>
      </c>
      <c r="G83" s="1"/>
    </row>
    <row r="84" spans="1:7">
      <c r="F84" s="2"/>
      <c r="G84" s="1"/>
    </row>
    <row r="85" spans="1:7">
      <c r="A85" s="1" t="s">
        <v>74</v>
      </c>
      <c r="F85" s="2">
        <v>1648210</v>
      </c>
      <c r="G85" s="1"/>
    </row>
    <row r="86" spans="1:7" ht="15.75" thickBot="1">
      <c r="A86" s="13" t="s">
        <v>120</v>
      </c>
      <c r="F86" s="17">
        <f>+F83-F85</f>
        <v>109955</v>
      </c>
      <c r="G86" s="1"/>
    </row>
    <row r="87" spans="1:7" ht="15.75" thickTop="1"/>
    <row r="88" spans="1:7">
      <c r="A88" s="45" t="s">
        <v>134</v>
      </c>
    </row>
    <row r="89" spans="1:7">
      <c r="A89" s="1" t="s">
        <v>131</v>
      </c>
      <c r="F89" s="1">
        <v>24391888</v>
      </c>
    </row>
    <row r="90" spans="1:7">
      <c r="A90" s="1" t="s">
        <v>163</v>
      </c>
      <c r="F90" s="1">
        <v>24344634</v>
      </c>
    </row>
    <row r="91" spans="1:7" ht="15.75" thickBot="1">
      <c r="F91" s="46">
        <f>+F89-F90</f>
        <v>47254</v>
      </c>
      <c r="G91" s="1"/>
    </row>
  </sheetData>
  <mergeCells count="1">
    <mergeCell ref="R2:U2"/>
  </mergeCells>
  <hyperlinks>
    <hyperlink ref="G14" r:id="rId1" display="=-@sum(+G12+G13)"/>
    <hyperlink ref="P24" r:id="rId2" display="=-@sum(+P36-P37)"/>
  </hyperlinks>
  <pageMargins left="0.7" right="0.7" top="0.75" bottom="0.75" header="0.3" footer="0.3"/>
  <pageSetup scale="70" orientation="portrait" r:id="rId3"/>
  <rowBreaks count="1" manualBreakCount="1">
    <brk id="61" max="23" man="1"/>
  </rowBreaks>
  <colBreaks count="2" manualBreakCount="2">
    <brk id="9" max="93" man="1"/>
    <brk id="17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3"/>
  <sheetViews>
    <sheetView view="pageBreakPreview" topLeftCell="A38" zoomScale="85" zoomScaleSheetLayoutView="85" workbookViewId="0">
      <selection activeCell="F57" sqref="F57"/>
    </sheetView>
  </sheetViews>
  <sheetFormatPr defaultRowHeight="15"/>
  <cols>
    <col min="1" max="3" width="9.140625" style="119" customWidth="1"/>
    <col min="4" max="4" width="23.85546875" style="119" customWidth="1"/>
    <col min="5" max="5" width="10" style="119" bestFit="1" customWidth="1"/>
    <col min="6" max="6" width="15.28515625" style="119" bestFit="1" customWidth="1"/>
    <col min="7" max="7" width="15.28515625" style="120" bestFit="1" customWidth="1"/>
    <col min="8" max="8" width="5.5703125" style="119" customWidth="1"/>
    <col min="9" max="9" width="14" style="119" customWidth="1"/>
    <col min="10" max="13" width="9.140625" style="119" customWidth="1"/>
    <col min="14" max="14" width="23.85546875" style="119" customWidth="1"/>
    <col min="15" max="15" width="17.85546875" style="121" customWidth="1"/>
    <col min="16" max="16" width="14.28515625" style="119" bestFit="1" customWidth="1"/>
    <col min="17" max="17" width="13.42578125" style="119" customWidth="1"/>
    <col min="18" max="18" width="5.85546875" style="119" customWidth="1"/>
    <col min="19" max="19" width="29.28515625" style="119" customWidth="1"/>
    <col min="20" max="20" width="18.28515625" style="119" customWidth="1"/>
    <col min="21" max="21" width="17.28515625" style="119" customWidth="1"/>
    <col min="22" max="22" width="15.42578125" style="119" customWidth="1"/>
    <col min="23" max="23" width="17.42578125" style="119" customWidth="1"/>
    <col min="24" max="24" width="4.85546875" style="119" customWidth="1"/>
    <col min="25" max="25" width="14.140625" style="119" bestFit="1" customWidth="1"/>
    <col min="26" max="26" width="12.5703125" style="119" customWidth="1"/>
    <col min="27" max="27" width="11.85546875" style="119" customWidth="1"/>
    <col min="28" max="28" width="15.85546875" style="119" customWidth="1"/>
    <col min="29" max="16384" width="9.140625" style="119"/>
  </cols>
  <sheetData>
    <row r="1" spans="1:25">
      <c r="A1" s="117" t="s">
        <v>160</v>
      </c>
    </row>
    <row r="2" spans="1:25">
      <c r="K2" s="117" t="s">
        <v>43</v>
      </c>
      <c r="S2" s="200" t="s">
        <v>32</v>
      </c>
      <c r="T2" s="200"/>
      <c r="U2" s="200"/>
      <c r="V2" s="200"/>
    </row>
    <row r="3" spans="1:25">
      <c r="K3" s="119" t="s">
        <v>46</v>
      </c>
      <c r="O3" s="121">
        <f>39503837+109527866</f>
        <v>149031703</v>
      </c>
      <c r="S3" s="122" t="s">
        <v>44</v>
      </c>
    </row>
    <row r="4" spans="1:25">
      <c r="A4" s="117" t="s">
        <v>45</v>
      </c>
      <c r="K4" s="119" t="s">
        <v>47</v>
      </c>
      <c r="O4" s="121">
        <v>440069</v>
      </c>
    </row>
    <row r="5" spans="1:25">
      <c r="K5" s="119" t="s">
        <v>54</v>
      </c>
      <c r="O5" s="97">
        <v>0</v>
      </c>
      <c r="S5" s="122" t="s">
        <v>48</v>
      </c>
      <c r="T5" s="177" t="s">
        <v>49</v>
      </c>
      <c r="U5" s="177" t="s">
        <v>50</v>
      </c>
      <c r="V5" s="177" t="s">
        <v>51</v>
      </c>
      <c r="W5" s="177" t="s">
        <v>52</v>
      </c>
      <c r="X5" s="177"/>
    </row>
    <row r="6" spans="1:25">
      <c r="A6" s="119" t="s">
        <v>53</v>
      </c>
      <c r="F6" s="90">
        <v>0</v>
      </c>
      <c r="G6" s="123"/>
      <c r="H6" s="124"/>
      <c r="K6" s="119" t="s">
        <v>128</v>
      </c>
      <c r="O6" s="125">
        <v>673127</v>
      </c>
      <c r="P6" s="125">
        <f>O3-O4-O5-O6</f>
        <v>147918507</v>
      </c>
      <c r="Q6" s="126"/>
      <c r="T6" s="177" t="s">
        <v>131</v>
      </c>
      <c r="U6" s="177"/>
      <c r="V6" s="177"/>
      <c r="W6" s="177" t="s">
        <v>156</v>
      </c>
      <c r="X6" s="177"/>
    </row>
    <row r="7" spans="1:25">
      <c r="A7" s="119" t="s">
        <v>55</v>
      </c>
      <c r="F7" s="127">
        <v>2745921</v>
      </c>
      <c r="G7" s="123">
        <f>+F6-F7</f>
        <v>-2745921</v>
      </c>
      <c r="H7" s="124"/>
      <c r="T7" s="177"/>
    </row>
    <row r="8" spans="1:25">
      <c r="F8" s="124"/>
      <c r="H8" s="124"/>
      <c r="K8" s="119" t="s">
        <v>58</v>
      </c>
      <c r="O8" s="121">
        <f>51150721+132376528</f>
        <v>183527249</v>
      </c>
      <c r="S8" s="119" t="s">
        <v>56</v>
      </c>
      <c r="T8" s="98">
        <v>0</v>
      </c>
      <c r="U8" s="98">
        <v>0</v>
      </c>
      <c r="V8" s="98">
        <v>0</v>
      </c>
      <c r="W8" s="98">
        <f>+T8+U8-V8</f>
        <v>0</v>
      </c>
    </row>
    <row r="9" spans="1:25">
      <c r="A9" s="119" t="s">
        <v>57</v>
      </c>
      <c r="F9" s="124"/>
      <c r="G9" s="128">
        <v>0</v>
      </c>
      <c r="H9" s="124"/>
      <c r="K9" s="119" t="s">
        <v>59</v>
      </c>
      <c r="O9" s="121">
        <v>1106611</v>
      </c>
      <c r="T9" s="98"/>
      <c r="U9" s="98"/>
      <c r="V9" s="98"/>
      <c r="W9" s="98"/>
    </row>
    <row r="10" spans="1:25">
      <c r="F10" s="124"/>
      <c r="G10" s="123">
        <f>+G7+G9</f>
        <v>-2745921</v>
      </c>
      <c r="H10" s="124"/>
      <c r="K10" s="119" t="s">
        <v>62</v>
      </c>
      <c r="O10" s="97">
        <v>0</v>
      </c>
      <c r="S10" s="119" t="s">
        <v>60</v>
      </c>
      <c r="T10" s="98"/>
      <c r="U10" s="98"/>
      <c r="V10" s="98"/>
      <c r="W10" s="98"/>
      <c r="Y10" s="84" t="s">
        <v>39</v>
      </c>
    </row>
    <row r="11" spans="1:25">
      <c r="A11" s="117" t="s">
        <v>61</v>
      </c>
      <c r="F11" s="124"/>
      <c r="G11" s="123"/>
      <c r="H11" s="124"/>
      <c r="K11" s="119" t="s">
        <v>128</v>
      </c>
      <c r="O11" s="125">
        <v>638456</v>
      </c>
      <c r="P11" s="125">
        <f>O8-O9-O10-O11</f>
        <v>181782182</v>
      </c>
      <c r="Q11" s="126"/>
      <c r="T11" s="98"/>
      <c r="U11" s="98"/>
      <c r="V11" s="98"/>
      <c r="W11" s="98"/>
    </row>
    <row r="12" spans="1:25" ht="15.75" thickBot="1">
      <c r="A12" s="119" t="s">
        <v>63</v>
      </c>
      <c r="F12" s="123"/>
      <c r="G12" s="90">
        <v>0</v>
      </c>
      <c r="H12" s="124"/>
      <c r="K12" s="118" t="s">
        <v>64</v>
      </c>
      <c r="P12" s="129">
        <f>+P6-P11</f>
        <v>-33863675</v>
      </c>
      <c r="Q12" s="126"/>
      <c r="S12" s="122" t="s">
        <v>65</v>
      </c>
      <c r="T12" s="98"/>
      <c r="U12" s="98"/>
      <c r="V12" s="98"/>
      <c r="W12" s="98"/>
    </row>
    <row r="13" spans="1:25" ht="15.75" thickTop="1">
      <c r="A13" s="119" t="s">
        <v>66</v>
      </c>
      <c r="F13" s="130"/>
      <c r="G13" s="127">
        <v>3096168</v>
      </c>
      <c r="H13" s="124"/>
      <c r="S13" s="119" t="s">
        <v>67</v>
      </c>
      <c r="T13" s="98"/>
      <c r="U13" s="98"/>
      <c r="V13" s="98"/>
      <c r="W13" s="98"/>
    </row>
    <row r="14" spans="1:25" ht="15.75" thickBot="1">
      <c r="D14" s="118" t="s">
        <v>68</v>
      </c>
      <c r="F14" s="124"/>
      <c r="G14" s="131">
        <f>+G10+G13</f>
        <v>350247</v>
      </c>
      <c r="H14" s="124"/>
      <c r="N14" s="132" t="s">
        <v>164</v>
      </c>
      <c r="Q14" s="129">
        <f>P12+F88+F93</f>
        <v>-30825160</v>
      </c>
      <c r="S14" s="119" t="s">
        <v>129</v>
      </c>
      <c r="T14" s="98"/>
      <c r="U14" s="98"/>
      <c r="V14" s="98"/>
      <c r="W14" s="98"/>
    </row>
    <row r="15" spans="1:25" ht="15.75" thickTop="1">
      <c r="F15" s="124"/>
      <c r="G15" s="123"/>
      <c r="H15" s="124"/>
      <c r="K15" s="117" t="s">
        <v>69</v>
      </c>
      <c r="S15" s="92" t="s">
        <v>70</v>
      </c>
      <c r="T15" s="98"/>
      <c r="U15" s="98"/>
      <c r="V15" s="98"/>
      <c r="W15" s="98"/>
      <c r="Y15" s="84" t="s">
        <v>39</v>
      </c>
    </row>
    <row r="16" spans="1:25">
      <c r="F16" s="124"/>
      <c r="G16" s="123"/>
      <c r="H16" s="124"/>
      <c r="S16" s="119" t="s">
        <v>130</v>
      </c>
      <c r="T16" s="98"/>
      <c r="U16" s="98"/>
      <c r="V16" s="98"/>
      <c r="W16" s="98"/>
    </row>
    <row r="17" spans="1:28">
      <c r="A17" s="117" t="s">
        <v>71</v>
      </c>
      <c r="F17" s="124"/>
      <c r="G17" s="123"/>
      <c r="H17" s="124"/>
      <c r="K17" s="119" t="s">
        <v>46</v>
      </c>
      <c r="O17" s="90">
        <f>+N16-N17</f>
        <v>0</v>
      </c>
      <c r="P17" s="97"/>
      <c r="S17" s="119" t="s">
        <v>91</v>
      </c>
      <c r="T17" s="98"/>
      <c r="U17" s="98"/>
      <c r="V17" s="98"/>
      <c r="W17" s="98"/>
    </row>
    <row r="18" spans="1:28">
      <c r="K18" s="119" t="s">
        <v>72</v>
      </c>
      <c r="O18" s="128">
        <f>+N17-N18</f>
        <v>0</v>
      </c>
      <c r="P18" s="97">
        <f>+O17-O18</f>
        <v>0</v>
      </c>
      <c r="Q18" s="120"/>
      <c r="T18" s="98"/>
      <c r="U18" s="98"/>
      <c r="V18" s="98"/>
      <c r="W18" s="98"/>
    </row>
    <row r="19" spans="1:28">
      <c r="A19" s="119" t="s">
        <v>73</v>
      </c>
      <c r="K19" s="119" t="s">
        <v>74</v>
      </c>
      <c r="O19" s="97">
        <v>0</v>
      </c>
      <c r="P19" s="97"/>
      <c r="T19" s="98"/>
      <c r="U19" s="98"/>
      <c r="V19" s="98"/>
      <c r="W19" s="98"/>
    </row>
    <row r="20" spans="1:28">
      <c r="K20" s="119" t="s">
        <v>72</v>
      </c>
      <c r="O20" s="128">
        <v>0</v>
      </c>
      <c r="P20" s="97">
        <f>+O19-O20</f>
        <v>0</v>
      </c>
      <c r="Q20" s="133"/>
      <c r="T20" s="134"/>
      <c r="U20" s="134"/>
      <c r="V20" s="134"/>
      <c r="W20" s="98">
        <f>+T20+U20-V20</f>
        <v>0</v>
      </c>
      <c r="X20" s="124"/>
    </row>
    <row r="21" spans="1:28" ht="15.75" thickBot="1">
      <c r="A21" s="119" t="s">
        <v>75</v>
      </c>
      <c r="G21" s="127"/>
      <c r="K21" s="118" t="s">
        <v>76</v>
      </c>
      <c r="P21" s="135">
        <f>+P18-P20</f>
        <v>0</v>
      </c>
      <c r="Q21" s="136"/>
      <c r="R21" s="133"/>
      <c r="T21" s="137">
        <f>SUM(T8:T20)</f>
        <v>0</v>
      </c>
      <c r="U21" s="137">
        <f>SUM(U8:U20)</f>
        <v>0</v>
      </c>
      <c r="V21" s="137">
        <f>SUM(V8:V20)</f>
        <v>0</v>
      </c>
      <c r="W21" s="137">
        <f>SUM(W8:W20)</f>
        <v>0</v>
      </c>
      <c r="X21" s="138"/>
      <c r="Y21" s="139">
        <f>+W21-T21</f>
        <v>0</v>
      </c>
    </row>
    <row r="22" spans="1:28" ht="15.75" thickTop="1">
      <c r="G22" s="120">
        <f>+G19+G20</f>
        <v>0</v>
      </c>
    </row>
    <row r="23" spans="1:28">
      <c r="A23" s="119" t="s">
        <v>77</v>
      </c>
      <c r="G23" s="127"/>
      <c r="K23" s="117" t="s">
        <v>78</v>
      </c>
      <c r="S23" s="140" t="s">
        <v>50</v>
      </c>
      <c r="T23" s="141">
        <f>+U21</f>
        <v>0</v>
      </c>
      <c r="U23" s="178"/>
      <c r="V23" s="178"/>
    </row>
    <row r="24" spans="1:28" ht="15.75" thickBot="1">
      <c r="D24" s="118" t="s">
        <v>79</v>
      </c>
      <c r="G24" s="142">
        <f>+G22-G23</f>
        <v>0</v>
      </c>
      <c r="S24" s="119" t="s">
        <v>51</v>
      </c>
      <c r="T24" s="84">
        <f>+V21</f>
        <v>0</v>
      </c>
    </row>
    <row r="25" spans="1:28" ht="16.5" thickTop="1" thickBot="1">
      <c r="K25" s="119" t="s">
        <v>46</v>
      </c>
      <c r="P25" s="120"/>
      <c r="Q25" s="120"/>
      <c r="T25" s="143">
        <f>+T23-T24</f>
        <v>0</v>
      </c>
    </row>
    <row r="26" spans="1:28" ht="15.75" thickTop="1">
      <c r="W26" s="144"/>
      <c r="X26" s="144"/>
      <c r="Y26" s="144"/>
      <c r="Z26" s="124"/>
      <c r="AA26" s="124"/>
      <c r="AB26" s="124"/>
    </row>
    <row r="27" spans="1:28">
      <c r="A27" s="117" t="s">
        <v>81</v>
      </c>
      <c r="K27" s="119" t="s">
        <v>74</v>
      </c>
      <c r="P27" s="133"/>
      <c r="Q27" s="133"/>
      <c r="S27" s="122" t="s">
        <v>80</v>
      </c>
      <c r="T27" s="144"/>
      <c r="U27" s="177" t="s">
        <v>0</v>
      </c>
      <c r="V27" s="177" t="s">
        <v>0</v>
      </c>
      <c r="W27" s="144"/>
      <c r="X27" s="144"/>
      <c r="Y27" s="144"/>
      <c r="Z27" s="124"/>
      <c r="AA27" s="124"/>
      <c r="AB27" s="124"/>
    </row>
    <row r="28" spans="1:28" ht="15.75" thickBot="1">
      <c r="K28" s="118" t="s">
        <v>82</v>
      </c>
      <c r="P28" s="145">
        <f>+P25-P27</f>
        <v>0</v>
      </c>
      <c r="Q28" s="124"/>
      <c r="T28" s="144"/>
      <c r="U28" s="177" t="s">
        <v>131</v>
      </c>
      <c r="V28" s="177" t="s">
        <v>155</v>
      </c>
      <c r="W28" s="124"/>
      <c r="X28" s="124"/>
      <c r="Y28" s="144"/>
      <c r="Z28" s="124"/>
      <c r="AA28" s="124"/>
      <c r="AB28" s="124"/>
    </row>
    <row r="29" spans="1:28" ht="15.75" thickTop="1">
      <c r="A29" s="119" t="s">
        <v>46</v>
      </c>
      <c r="F29" s="120">
        <v>223105998</v>
      </c>
      <c r="S29" s="122" t="s">
        <v>44</v>
      </c>
      <c r="T29" s="124"/>
      <c r="U29" s="134"/>
      <c r="V29" s="134"/>
      <c r="W29" s="134"/>
      <c r="X29" s="124"/>
      <c r="Y29" s="124"/>
      <c r="Z29" s="124"/>
      <c r="AA29" s="124"/>
      <c r="AB29" s="124"/>
    </row>
    <row r="30" spans="1:28">
      <c r="A30" s="119" t="s">
        <v>162</v>
      </c>
      <c r="F30" s="127">
        <v>170037500</v>
      </c>
      <c r="S30" s="119" t="s">
        <v>83</v>
      </c>
      <c r="T30" s="124"/>
      <c r="U30" s="134"/>
      <c r="V30" s="134"/>
      <c r="W30" s="81" t="s">
        <v>50</v>
      </c>
      <c r="Y30" s="141"/>
      <c r="Z30" s="124"/>
      <c r="AA30" s="124"/>
      <c r="AB30" s="124"/>
    </row>
    <row r="31" spans="1:28">
      <c r="G31" s="120">
        <f>F29-F30</f>
        <v>53068498</v>
      </c>
      <c r="K31" s="117" t="s">
        <v>84</v>
      </c>
      <c r="S31" s="119" t="s">
        <v>132</v>
      </c>
      <c r="T31" s="124"/>
      <c r="U31" s="134"/>
      <c r="V31" s="134"/>
      <c r="W31" s="146" t="s">
        <v>51</v>
      </c>
      <c r="Y31" s="84"/>
      <c r="Z31" s="124"/>
      <c r="AA31" s="124"/>
      <c r="AB31" s="124"/>
    </row>
    <row r="32" spans="1:28" ht="15.75" thickBot="1">
      <c r="S32" s="119" t="s">
        <v>86</v>
      </c>
      <c r="T32" s="124"/>
      <c r="U32" s="91"/>
      <c r="V32" s="91"/>
      <c r="W32" s="146"/>
      <c r="Y32" s="143">
        <f>+Y30-Y31</f>
        <v>0</v>
      </c>
      <c r="Z32" s="124"/>
      <c r="AA32" s="124"/>
      <c r="AB32" s="124"/>
    </row>
    <row r="33" spans="1:28" ht="15.75" thickTop="1">
      <c r="A33" s="119" t="s">
        <v>58</v>
      </c>
      <c r="F33" s="120">
        <v>136363223</v>
      </c>
      <c r="K33" s="119" t="s">
        <v>87</v>
      </c>
      <c r="P33" s="97">
        <v>0</v>
      </c>
      <c r="S33" s="122"/>
      <c r="T33" s="124"/>
      <c r="U33" s="134">
        <f>SUM(U30:U32)</f>
        <v>0</v>
      </c>
      <c r="V33" s="134">
        <f>SUM(V30:V32)</f>
        <v>0</v>
      </c>
      <c r="W33" s="147"/>
      <c r="X33" s="124"/>
      <c r="Y33" s="124"/>
      <c r="Z33" s="124"/>
      <c r="AA33" s="124"/>
      <c r="AB33" s="124"/>
    </row>
    <row r="34" spans="1:28">
      <c r="A34" s="119" t="s">
        <v>162</v>
      </c>
      <c r="F34" s="127">
        <v>101787500</v>
      </c>
      <c r="G34" s="120">
        <f>F33-F34</f>
        <v>34575723</v>
      </c>
      <c r="S34" s="122" t="s">
        <v>89</v>
      </c>
      <c r="T34" s="124"/>
      <c r="U34" s="134"/>
      <c r="V34" s="134"/>
      <c r="W34" s="147"/>
      <c r="X34" s="124"/>
      <c r="Y34" s="124"/>
      <c r="Z34" s="124"/>
      <c r="AA34" s="124"/>
      <c r="AB34" s="124"/>
    </row>
    <row r="35" spans="1:28">
      <c r="K35" s="119" t="s">
        <v>90</v>
      </c>
      <c r="P35" s="148">
        <v>12988514</v>
      </c>
      <c r="Q35" s="124"/>
      <c r="S35" s="119" t="s">
        <v>133</v>
      </c>
      <c r="T35" s="124"/>
      <c r="U35" s="134"/>
      <c r="V35" s="134"/>
      <c r="W35" s="147"/>
      <c r="X35" s="124"/>
      <c r="Y35" s="124"/>
      <c r="Z35" s="124"/>
      <c r="AA35" s="124"/>
      <c r="AB35" s="124"/>
    </row>
    <row r="36" spans="1:28" ht="15.75" thickBot="1">
      <c r="A36" s="118" t="s">
        <v>85</v>
      </c>
      <c r="G36" s="142">
        <f>G31-G34</f>
        <v>18492775</v>
      </c>
      <c r="P36" s="119">
        <f>+P33+P35</f>
        <v>12988514</v>
      </c>
      <c r="S36" s="92" t="s">
        <v>91</v>
      </c>
      <c r="T36" s="124"/>
      <c r="U36" s="134"/>
      <c r="V36" s="134"/>
      <c r="W36" s="147"/>
      <c r="X36" s="124"/>
      <c r="Y36" s="124"/>
      <c r="Z36" s="124"/>
      <c r="AA36" s="124"/>
      <c r="AB36" s="124"/>
    </row>
    <row r="37" spans="1:28" ht="15.75" thickTop="1">
      <c r="A37" s="118"/>
      <c r="G37" s="123"/>
      <c r="K37" s="119" t="s">
        <v>93</v>
      </c>
      <c r="P37" s="148">
        <v>0</v>
      </c>
      <c r="Q37" s="124"/>
      <c r="S37" s="119" t="s">
        <v>94</v>
      </c>
      <c r="T37" s="124"/>
      <c r="U37" s="91"/>
      <c r="V37" s="91"/>
      <c r="W37" s="147"/>
      <c r="X37" s="124"/>
      <c r="Y37" s="124"/>
      <c r="Z37" s="124"/>
      <c r="AA37" s="124"/>
      <c r="AB37" s="124"/>
    </row>
    <row r="38" spans="1:28" ht="15.75" thickBot="1">
      <c r="A38" s="118"/>
      <c r="G38" s="123"/>
      <c r="N38" s="118" t="s">
        <v>95</v>
      </c>
      <c r="P38" s="149">
        <f>-SUM(+P36-P37)</f>
        <v>-12988514</v>
      </c>
      <c r="Q38" s="150"/>
      <c r="T38" s="124"/>
      <c r="U38" s="151">
        <f>SUM(U33:U37)</f>
        <v>0</v>
      </c>
      <c r="V38" s="151">
        <f>SUM(V33:V37)</f>
        <v>0</v>
      </c>
      <c r="W38" s="147">
        <f>+U38-V38</f>
        <v>0</v>
      </c>
      <c r="X38" s="124"/>
      <c r="Y38" s="124"/>
      <c r="Z38" s="124"/>
      <c r="AA38" s="124"/>
      <c r="AB38" s="124"/>
    </row>
    <row r="39" spans="1:28" ht="15.75" thickTop="1">
      <c r="A39" s="117" t="s">
        <v>88</v>
      </c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5.75" thickBot="1">
      <c r="T40" s="124"/>
      <c r="U40" s="152"/>
      <c r="V40" s="152"/>
      <c r="W40" s="124"/>
      <c r="X40" s="124"/>
      <c r="Y40" s="124"/>
      <c r="Z40" s="124"/>
      <c r="AA40" s="124"/>
      <c r="AB40" s="124"/>
    </row>
    <row r="41" spans="1:28" ht="15.75" thickTop="1">
      <c r="A41" s="119" t="s">
        <v>46</v>
      </c>
      <c r="F41" s="120">
        <f>14406549</f>
        <v>14406549</v>
      </c>
      <c r="K41" s="117" t="s">
        <v>97</v>
      </c>
      <c r="T41" s="124"/>
      <c r="U41" s="134"/>
      <c r="V41" s="134"/>
      <c r="W41" s="124"/>
      <c r="X41" s="124"/>
      <c r="Y41" s="124"/>
      <c r="Z41" s="124"/>
      <c r="AA41" s="124"/>
      <c r="AB41" s="124"/>
    </row>
    <row r="42" spans="1:28" ht="15.75" thickBot="1">
      <c r="A42" s="119" t="s">
        <v>92</v>
      </c>
      <c r="F42" s="128">
        <v>0</v>
      </c>
      <c r="G42" s="120">
        <f>+F41+F42</f>
        <v>14406549</v>
      </c>
      <c r="T42" s="153"/>
      <c r="U42" s="154"/>
      <c r="V42" s="154"/>
      <c r="W42" s="153"/>
      <c r="X42" s="153"/>
      <c r="Y42" s="153"/>
      <c r="Z42" s="153"/>
      <c r="AA42" s="153"/>
      <c r="AB42" s="153"/>
    </row>
    <row r="43" spans="1:28" ht="15.75" thickTop="1">
      <c r="K43" s="119" t="s">
        <v>99</v>
      </c>
      <c r="O43" s="121">
        <v>48376270</v>
      </c>
      <c r="P43" s="98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>
      <c r="A44" s="119" t="s">
        <v>96</v>
      </c>
      <c r="G44" s="128">
        <v>0</v>
      </c>
      <c r="K44" s="119" t="s">
        <v>101</v>
      </c>
      <c r="O44" s="125">
        <f>3251600+7995</f>
        <v>3259595</v>
      </c>
      <c r="P44" s="98">
        <f>+O43-O44</f>
        <v>45116675</v>
      </c>
      <c r="Q44" s="121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>
      <c r="G45" s="120">
        <f>+G42-G44</f>
        <v>14406549</v>
      </c>
      <c r="K45" s="119" t="s">
        <v>102</v>
      </c>
      <c r="P45" s="98">
        <v>0</v>
      </c>
      <c r="Q45" s="126"/>
      <c r="S45" s="132" t="s">
        <v>166</v>
      </c>
      <c r="W45" s="121"/>
    </row>
    <row r="46" spans="1:28">
      <c r="A46" s="119" t="s">
        <v>74</v>
      </c>
      <c r="G46" s="176">
        <f>873146+15569669</f>
        <v>16442815</v>
      </c>
      <c r="O46" s="126"/>
      <c r="P46" s="134">
        <f>SUM(P44:P45)</f>
        <v>45116675</v>
      </c>
      <c r="Q46" s="123"/>
      <c r="W46" s="121"/>
    </row>
    <row r="47" spans="1:28" ht="15.75" thickBot="1">
      <c r="A47" s="118" t="s">
        <v>98</v>
      </c>
      <c r="G47" s="142">
        <f>+G46-G45</f>
        <v>2036266</v>
      </c>
      <c r="P47" s="134"/>
      <c r="Q47" s="124"/>
      <c r="S47" s="119" t="s">
        <v>46</v>
      </c>
      <c r="W47" s="121">
        <v>213712432</v>
      </c>
    </row>
    <row r="48" spans="1:28" ht="15.75" thickTop="1">
      <c r="K48" s="119" t="s">
        <v>103</v>
      </c>
      <c r="O48" s="121">
        <v>40651088</v>
      </c>
      <c r="P48" s="98"/>
      <c r="W48" s="121"/>
    </row>
    <row r="49" spans="1:23">
      <c r="A49" s="117" t="s">
        <v>100</v>
      </c>
      <c r="E49" s="121"/>
      <c r="G49" s="119"/>
      <c r="K49" s="119" t="s">
        <v>104</v>
      </c>
      <c r="O49" s="97"/>
      <c r="P49" s="98"/>
      <c r="S49" s="119" t="s">
        <v>167</v>
      </c>
      <c r="W49" s="121">
        <v>82541274</v>
      </c>
    </row>
    <row r="50" spans="1:23" ht="15.75" thickBot="1">
      <c r="E50" s="121"/>
      <c r="G50" s="119"/>
      <c r="K50" s="119" t="s">
        <v>105</v>
      </c>
      <c r="O50" s="97">
        <v>0</v>
      </c>
      <c r="P50" s="98">
        <f>+O48-O50</f>
        <v>40651088</v>
      </c>
      <c r="Q50" s="121"/>
      <c r="W50" s="129">
        <f>W47-W49</f>
        <v>131171158</v>
      </c>
    </row>
    <row r="51" spans="1:23" ht="15.75" thickTop="1">
      <c r="A51" s="119" t="s">
        <v>46</v>
      </c>
      <c r="F51" s="98">
        <f>130088287+17256711</f>
        <v>147344998</v>
      </c>
      <c r="G51" s="98"/>
      <c r="K51" s="119" t="s">
        <v>106</v>
      </c>
      <c r="O51" s="126"/>
      <c r="P51" s="134">
        <v>839437</v>
      </c>
      <c r="Q51" s="124"/>
      <c r="W51" s="121"/>
    </row>
    <row r="52" spans="1:23" ht="15.75" thickBot="1">
      <c r="A52" s="119" t="s">
        <v>66</v>
      </c>
      <c r="F52" s="134">
        <v>3096168</v>
      </c>
      <c r="G52" s="98"/>
      <c r="N52" s="118" t="s">
        <v>107</v>
      </c>
      <c r="P52" s="155">
        <f>+P46-P50-P51</f>
        <v>3626150</v>
      </c>
      <c r="Q52" s="126"/>
      <c r="W52" s="121"/>
    </row>
    <row r="53" spans="1:23" ht="15.75" thickTop="1">
      <c r="A53" s="119" t="s">
        <v>181</v>
      </c>
      <c r="F53" s="91">
        <v>9645052</v>
      </c>
      <c r="G53" s="98">
        <f>F51-F52-F53</f>
        <v>134603778</v>
      </c>
      <c r="P53" s="98"/>
      <c r="W53" s="121"/>
    </row>
    <row r="54" spans="1:23">
      <c r="F54" s="98"/>
      <c r="G54" s="98"/>
      <c r="W54" s="121"/>
    </row>
    <row r="55" spans="1:23">
      <c r="F55" s="121"/>
      <c r="G55" s="119"/>
      <c r="K55" s="117" t="s">
        <v>109</v>
      </c>
      <c r="S55" s="132" t="s">
        <v>168</v>
      </c>
      <c r="W55" s="121"/>
    </row>
    <row r="56" spans="1:23">
      <c r="A56" s="119" t="s">
        <v>58</v>
      </c>
      <c r="F56" s="98">
        <f>173531509</f>
        <v>173531509</v>
      </c>
      <c r="G56" s="98"/>
      <c r="W56" s="121"/>
    </row>
    <row r="57" spans="1:23">
      <c r="A57" s="119" t="s">
        <v>55</v>
      </c>
      <c r="F57" s="134">
        <v>2745921</v>
      </c>
      <c r="K57" s="119" t="s">
        <v>99</v>
      </c>
      <c r="O57" s="97">
        <v>0</v>
      </c>
      <c r="P57" s="97"/>
      <c r="Q57" s="97"/>
      <c r="S57" s="119" t="s">
        <v>46</v>
      </c>
      <c r="W57" s="121">
        <v>97487367</v>
      </c>
    </row>
    <row r="58" spans="1:23">
      <c r="A58" s="119" t="s">
        <v>181</v>
      </c>
      <c r="F58" s="91">
        <v>9645052</v>
      </c>
      <c r="G58" s="134">
        <f>+F56-F57-F58</f>
        <v>161140536</v>
      </c>
      <c r="K58" s="119" t="s">
        <v>102</v>
      </c>
      <c r="O58" s="97">
        <v>0</v>
      </c>
      <c r="P58" s="90"/>
      <c r="Q58" s="90"/>
      <c r="W58" s="121"/>
    </row>
    <row r="59" spans="1:23" ht="15.75" thickBot="1">
      <c r="A59" s="118" t="s">
        <v>108</v>
      </c>
      <c r="F59" s="98"/>
      <c r="G59" s="155">
        <f>+G58-G53</f>
        <v>26536758</v>
      </c>
      <c r="I59" s="84"/>
      <c r="K59" s="119" t="s">
        <v>111</v>
      </c>
      <c r="O59" s="128">
        <v>0</v>
      </c>
      <c r="P59" s="90">
        <f>+O57+O58+O59</f>
        <v>0</v>
      </c>
      <c r="Q59" s="90"/>
      <c r="S59" s="119" t="s">
        <v>167</v>
      </c>
      <c r="W59" s="121">
        <v>125487660</v>
      </c>
    </row>
    <row r="60" spans="1:23" ht="16.5" thickTop="1" thickBot="1">
      <c r="F60" s="121"/>
      <c r="G60" s="84"/>
      <c r="O60" s="97"/>
      <c r="P60" s="90"/>
      <c r="Q60" s="90"/>
      <c r="W60" s="129">
        <f>W57-W59</f>
        <v>-28000293</v>
      </c>
    </row>
    <row r="61" spans="1:23" ht="15.75" thickTop="1">
      <c r="I61" s="84">
        <f>G47+G59</f>
        <v>28573024</v>
      </c>
      <c r="K61" s="119" t="s">
        <v>103</v>
      </c>
      <c r="O61" s="97">
        <v>0</v>
      </c>
      <c r="P61" s="97"/>
      <c r="Q61" s="97"/>
      <c r="W61" s="121"/>
    </row>
    <row r="62" spans="1:23">
      <c r="D62" s="132" t="s">
        <v>165</v>
      </c>
      <c r="I62" s="84"/>
      <c r="K62" s="119" t="s">
        <v>113</v>
      </c>
      <c r="O62" s="128">
        <v>0</v>
      </c>
      <c r="P62" s="128">
        <f>+O61+O62</f>
        <v>0</v>
      </c>
      <c r="Q62" s="90"/>
    </row>
    <row r="63" spans="1:23" ht="15.75" thickBot="1">
      <c r="A63" s="117" t="s">
        <v>110</v>
      </c>
      <c r="E63" s="121"/>
      <c r="G63" s="119"/>
      <c r="N63" s="118" t="s">
        <v>107</v>
      </c>
      <c r="O63" s="97"/>
      <c r="P63" s="145">
        <f>+P59-P62</f>
        <v>0</v>
      </c>
      <c r="Q63" s="90"/>
    </row>
    <row r="64" spans="1:23" ht="15.75" thickTop="1">
      <c r="E64" s="121"/>
      <c r="G64" s="119"/>
      <c r="O64" s="97"/>
      <c r="P64" s="97"/>
      <c r="Q64" s="97"/>
    </row>
    <row r="65" spans="1:18">
      <c r="A65" s="119" t="s">
        <v>46</v>
      </c>
      <c r="E65" s="121">
        <v>480437</v>
      </c>
      <c r="G65" s="119"/>
    </row>
    <row r="66" spans="1:18">
      <c r="A66" s="119" t="s">
        <v>112</v>
      </c>
      <c r="E66" s="125">
        <v>480437</v>
      </c>
      <c r="F66" s="119">
        <f>+E65-E66</f>
        <v>0</v>
      </c>
      <c r="G66" s="119"/>
      <c r="O66" s="119"/>
      <c r="R66" s="120"/>
    </row>
    <row r="67" spans="1:18">
      <c r="E67" s="121"/>
      <c r="G67" s="119"/>
      <c r="K67" s="117" t="s">
        <v>116</v>
      </c>
      <c r="O67" s="119"/>
      <c r="R67" s="120"/>
    </row>
    <row r="68" spans="1:18">
      <c r="A68" s="119" t="s">
        <v>74</v>
      </c>
      <c r="E68" s="121">
        <v>2077259</v>
      </c>
      <c r="G68" s="119"/>
      <c r="O68" s="119"/>
      <c r="R68" s="120"/>
    </row>
    <row r="69" spans="1:18">
      <c r="A69" s="119" t="s">
        <v>114</v>
      </c>
      <c r="E69" s="125">
        <v>581399</v>
      </c>
      <c r="F69" s="98">
        <f>+E68-E69</f>
        <v>1495860</v>
      </c>
      <c r="G69" s="119"/>
      <c r="K69" s="119" t="s">
        <v>118</v>
      </c>
      <c r="O69" s="119"/>
      <c r="P69" s="120">
        <v>581399</v>
      </c>
      <c r="Q69" s="120"/>
    </row>
    <row r="70" spans="1:18">
      <c r="E70" s="121"/>
      <c r="F70" s="148"/>
      <c r="G70" s="119"/>
      <c r="O70" s="119"/>
      <c r="P70" s="120"/>
      <c r="Q70" s="120"/>
    </row>
    <row r="71" spans="1:18" ht="15.75" thickBot="1">
      <c r="A71" s="118" t="s">
        <v>115</v>
      </c>
      <c r="E71" s="121"/>
      <c r="F71" s="156">
        <f>F66-F69</f>
        <v>-1495860</v>
      </c>
      <c r="G71" s="119"/>
      <c r="K71" s="119" t="s">
        <v>119</v>
      </c>
      <c r="O71" s="119"/>
      <c r="P71" s="127">
        <v>729485</v>
      </c>
      <c r="Q71" s="123"/>
    </row>
    <row r="72" spans="1:18" ht="15.75" thickTop="1">
      <c r="O72" s="119"/>
      <c r="P72" s="120">
        <f>+P69+P71</f>
        <v>1310884</v>
      </c>
      <c r="Q72" s="120"/>
    </row>
    <row r="73" spans="1:18">
      <c r="K73" s="119" t="s">
        <v>112</v>
      </c>
      <c r="O73" s="119"/>
      <c r="P73" s="119">
        <v>480437</v>
      </c>
    </row>
    <row r="74" spans="1:18" ht="15.75" thickBot="1">
      <c r="A74" s="117" t="s">
        <v>117</v>
      </c>
      <c r="N74" s="118" t="s">
        <v>121</v>
      </c>
      <c r="O74" s="119"/>
      <c r="P74" s="142">
        <f>+P72-P73</f>
        <v>830447</v>
      </c>
      <c r="Q74" s="123"/>
    </row>
    <row r="75" spans="1:18" ht="15.75" thickTop="1">
      <c r="O75" s="119"/>
      <c r="P75" s="120"/>
      <c r="Q75" s="120"/>
    </row>
    <row r="76" spans="1:18">
      <c r="A76" s="119" t="s">
        <v>46</v>
      </c>
      <c r="F76" s="120">
        <v>199100</v>
      </c>
      <c r="G76" s="119"/>
      <c r="O76" s="119"/>
      <c r="P76" s="120"/>
      <c r="Q76" s="120"/>
    </row>
    <row r="77" spans="1:18">
      <c r="F77" s="120"/>
      <c r="G77" s="119"/>
      <c r="K77" s="117" t="s">
        <v>123</v>
      </c>
      <c r="O77" s="119"/>
      <c r="P77" s="120"/>
      <c r="Q77" s="120"/>
    </row>
    <row r="78" spans="1:18">
      <c r="A78" s="119" t="s">
        <v>74</v>
      </c>
      <c r="F78" s="120">
        <v>199100</v>
      </c>
      <c r="G78" s="119"/>
      <c r="K78" s="119" t="s">
        <v>124</v>
      </c>
      <c r="O78" s="98">
        <v>638456</v>
      </c>
      <c r="P78" s="120"/>
      <c r="Q78" s="120"/>
    </row>
    <row r="79" spans="1:18" ht="15.75" thickBot="1">
      <c r="A79" s="118" t="s">
        <v>120</v>
      </c>
      <c r="F79" s="142">
        <f>+F78-F76</f>
        <v>0</v>
      </c>
      <c r="G79" s="119"/>
      <c r="K79" s="119" t="s">
        <v>125</v>
      </c>
      <c r="O79" s="98">
        <v>1106611</v>
      </c>
      <c r="P79" s="120"/>
      <c r="Q79" s="120"/>
    </row>
    <row r="80" spans="1:18" ht="15.75" thickTop="1">
      <c r="F80" s="120"/>
      <c r="G80" s="119"/>
      <c r="O80" s="98"/>
      <c r="P80" s="120"/>
      <c r="Q80" s="120"/>
    </row>
    <row r="81" spans="1:17">
      <c r="A81" s="119" t="s">
        <v>122</v>
      </c>
      <c r="K81" s="119" t="s">
        <v>126</v>
      </c>
      <c r="O81" s="91">
        <v>39666842</v>
      </c>
      <c r="P81" s="127">
        <f>SUM(O78:O81)</f>
        <v>41411909</v>
      </c>
      <c r="Q81" s="123"/>
    </row>
    <row r="82" spans="1:17">
      <c r="O82" s="119"/>
      <c r="P82" s="120">
        <f>+P79+P81+P78</f>
        <v>41411909</v>
      </c>
      <c r="Q82" s="120"/>
    </row>
    <row r="83" spans="1:17">
      <c r="A83" s="132" t="s">
        <v>182</v>
      </c>
      <c r="K83" s="119" t="s">
        <v>47</v>
      </c>
      <c r="O83" s="123">
        <v>440069</v>
      </c>
    </row>
    <row r="84" spans="1:17">
      <c r="G84" s="119"/>
      <c r="K84" s="119" t="s">
        <v>135</v>
      </c>
      <c r="O84" s="148">
        <v>673127</v>
      </c>
      <c r="P84" s="120">
        <f>SUM(O83:O84)</f>
        <v>1113196</v>
      </c>
      <c r="Q84" s="120"/>
    </row>
    <row r="85" spans="1:17" ht="15.75" thickBot="1">
      <c r="A85" s="119" t="s">
        <v>46</v>
      </c>
      <c r="F85" s="120">
        <v>2219122</v>
      </c>
      <c r="G85" s="119"/>
      <c r="P85" s="142">
        <f>+P84-P82</f>
        <v>-40298713</v>
      </c>
      <c r="Q85" s="123"/>
    </row>
    <row r="86" spans="1:17" ht="15.75" thickTop="1">
      <c r="F86" s="120"/>
      <c r="G86" s="119"/>
    </row>
    <row r="87" spans="1:17">
      <c r="A87" s="119" t="s">
        <v>74</v>
      </c>
      <c r="F87" s="120">
        <v>3650889</v>
      </c>
      <c r="G87" s="119"/>
    </row>
    <row r="88" spans="1:17" ht="15.75" thickBot="1">
      <c r="A88" s="118" t="s">
        <v>120</v>
      </c>
      <c r="F88" s="142">
        <f>+F85-F87</f>
        <v>-1431767</v>
      </c>
    </row>
    <row r="89" spans="1:17" ht="15.75" thickTop="1"/>
    <row r="90" spans="1:17">
      <c r="A90" s="132" t="s">
        <v>134</v>
      </c>
    </row>
    <row r="91" spans="1:17">
      <c r="A91" s="119" t="s">
        <v>173</v>
      </c>
      <c r="F91" s="119">
        <v>16351259</v>
      </c>
    </row>
    <row r="92" spans="1:17">
      <c r="A92" s="119" t="s">
        <v>155</v>
      </c>
      <c r="F92" s="119">
        <v>11880977</v>
      </c>
    </row>
    <row r="93" spans="1:17" ht="15.75" thickBot="1">
      <c r="F93" s="157">
        <f>+F91-F92</f>
        <v>4470282</v>
      </c>
    </row>
  </sheetData>
  <mergeCells count="1">
    <mergeCell ref="S2:V2"/>
  </mergeCells>
  <hyperlinks>
    <hyperlink ref="G14" r:id="rId1" display="=-@sum(+G12+G13)"/>
    <hyperlink ref="P38" r:id="rId2" display="=-@sum(+P36-P37)"/>
  </hyperlinks>
  <pageMargins left="0.7" right="0.7" top="0.75" bottom="0.75" header="0.3" footer="0.3"/>
  <pageSetup scale="70" orientation="portrait" r:id="rId3"/>
  <rowBreaks count="1" manualBreakCount="1">
    <brk id="62" max="24" man="1"/>
  </rowBreaks>
  <colBreaks count="2" manualBreakCount="2">
    <brk id="9" max="94" man="1"/>
    <brk id="18" max="9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G6:K18"/>
  <sheetViews>
    <sheetView workbookViewId="0">
      <selection activeCell="G16" sqref="G16"/>
    </sheetView>
  </sheetViews>
  <sheetFormatPr defaultRowHeight="15"/>
  <cols>
    <col min="9" max="9" width="14.5703125" customWidth="1"/>
    <col min="10" max="10" width="18.85546875" customWidth="1"/>
    <col min="11" max="11" width="9.7109375" bestFit="1" customWidth="1"/>
  </cols>
  <sheetData>
    <row r="6" spans="7:11">
      <c r="I6">
        <v>177408060</v>
      </c>
    </row>
    <row r="7" spans="7:11">
      <c r="G7">
        <v>15</v>
      </c>
      <c r="H7" t="s">
        <v>175</v>
      </c>
      <c r="I7">
        <f>159894069+13637441</f>
        <v>173531510</v>
      </c>
      <c r="J7">
        <f>I6-I7</f>
        <v>3876550</v>
      </c>
    </row>
    <row r="9" spans="7:11">
      <c r="G9">
        <v>14</v>
      </c>
      <c r="H9" t="s">
        <v>176</v>
      </c>
      <c r="I9" s="28">
        <f>155690231+17513991</f>
        <v>173204222</v>
      </c>
    </row>
    <row r="11" spans="7:11">
      <c r="I11" s="80">
        <f>I9-I7</f>
        <v>-327288</v>
      </c>
    </row>
    <row r="15" spans="7:11">
      <c r="K15">
        <v>16444628</v>
      </c>
    </row>
    <row r="16" spans="7:11">
      <c r="K16">
        <v>84686633</v>
      </c>
    </row>
    <row r="18" spans="11:11">
      <c r="K18">
        <f>K15-K16</f>
        <v>-68242005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view="pageBreakPreview" topLeftCell="A4" zoomScaleSheetLayoutView="100" workbookViewId="0">
      <selection activeCell="D9" sqref="D9"/>
    </sheetView>
  </sheetViews>
  <sheetFormatPr defaultColWidth="24.28515625" defaultRowHeight="15"/>
  <cols>
    <col min="1" max="1" width="3.7109375" style="119" customWidth="1"/>
    <col min="2" max="2" width="76.140625" style="119" customWidth="1"/>
    <col min="3" max="3" width="17.7109375" style="119" customWidth="1"/>
    <col min="4" max="4" width="17.85546875" style="86" customWidth="1"/>
    <col min="5" max="5" width="15.28515625" style="83" hidden="1" customWidth="1"/>
    <col min="6" max="6" width="1.85546875" style="119" customWidth="1"/>
    <col min="7" max="16384" width="24.28515625" style="119"/>
  </cols>
  <sheetData>
    <row r="1" spans="1:5">
      <c r="A1" s="194" t="s">
        <v>32</v>
      </c>
      <c r="B1" s="194"/>
      <c r="C1" s="194"/>
      <c r="D1" s="194"/>
      <c r="E1" s="194"/>
    </row>
    <row r="2" spans="1:5" ht="10.5" customHeight="1"/>
    <row r="3" spans="1:5">
      <c r="A3" s="194" t="s">
        <v>171</v>
      </c>
      <c r="B3" s="194"/>
      <c r="C3" s="194"/>
      <c r="D3" s="194"/>
      <c r="E3" s="194"/>
    </row>
    <row r="4" spans="1:5" ht="12" customHeight="1">
      <c r="A4" s="179"/>
      <c r="B4" s="179"/>
      <c r="C4" s="179"/>
      <c r="D4" s="179"/>
      <c r="E4" s="81"/>
    </row>
    <row r="5" spans="1:5">
      <c r="C5" s="159" t="s">
        <v>0</v>
      </c>
      <c r="D5" s="159" t="s">
        <v>0</v>
      </c>
      <c r="E5" s="82" t="s">
        <v>0</v>
      </c>
    </row>
    <row r="6" spans="1:5">
      <c r="C6" s="159" t="s">
        <v>170</v>
      </c>
      <c r="D6" s="159" t="s">
        <v>156</v>
      </c>
      <c r="E6" s="82" t="s">
        <v>35</v>
      </c>
    </row>
    <row r="7" spans="1:5" ht="11.25" customHeight="1">
      <c r="C7" s="159" t="s">
        <v>1</v>
      </c>
      <c r="D7" s="159" t="s">
        <v>1</v>
      </c>
      <c r="E7" s="82" t="s">
        <v>1</v>
      </c>
    </row>
    <row r="8" spans="1:5" ht="19.5" customHeight="1">
      <c r="A8" s="119" t="s">
        <v>2</v>
      </c>
      <c r="B8" s="132" t="s">
        <v>137</v>
      </c>
      <c r="C8" s="132"/>
    </row>
    <row r="9" spans="1:5">
      <c r="B9" s="119" t="s">
        <v>179</v>
      </c>
      <c r="C9" s="160">
        <f>-84686633+68242005</f>
        <v>-16444628</v>
      </c>
      <c r="D9" s="98">
        <f>-43597227+10967500-2375000</f>
        <v>-35004727</v>
      </c>
      <c r="E9" s="84">
        <v>-37375414</v>
      </c>
    </row>
    <row r="10" spans="1:5" ht="12.75" customHeight="1">
      <c r="C10" s="160"/>
      <c r="D10" s="83"/>
    </row>
    <row r="11" spans="1:5">
      <c r="B11" s="119" t="s">
        <v>3</v>
      </c>
      <c r="C11" s="160"/>
      <c r="D11" s="83"/>
    </row>
    <row r="12" spans="1:5">
      <c r="B12" s="119" t="s">
        <v>4</v>
      </c>
      <c r="C12" s="160">
        <v>12338637</v>
      </c>
      <c r="D12" s="83">
        <v>10213362</v>
      </c>
      <c r="E12" s="83">
        <v>9182249</v>
      </c>
    </row>
    <row r="13" spans="1:5">
      <c r="B13" s="119" t="s">
        <v>5</v>
      </c>
      <c r="C13" s="160">
        <f>'Working 31.03.15'!O81</f>
        <v>39666842</v>
      </c>
      <c r="D13" s="83">
        <f>+'Working 31.03.14'!O81</f>
        <v>29849963</v>
      </c>
      <c r="E13" s="83">
        <f>+'Working 31.03.13'!O67</f>
        <v>35533024</v>
      </c>
    </row>
    <row r="14" spans="1:5">
      <c r="B14" s="119" t="s">
        <v>6</v>
      </c>
      <c r="C14" s="160">
        <f>'Working 31.03.15'!P51</f>
        <v>839437</v>
      </c>
      <c r="D14" s="84">
        <f>-'Working 31.03.14'!P45</f>
        <v>-15732807</v>
      </c>
      <c r="E14" s="84">
        <f>-'Working 31.03.13'!P31</f>
        <v>-12623147</v>
      </c>
    </row>
    <row r="15" spans="1:5">
      <c r="B15" s="119" t="s">
        <v>33</v>
      </c>
      <c r="C15" s="160">
        <v>-896430</v>
      </c>
      <c r="D15" s="84">
        <v>-836000</v>
      </c>
      <c r="E15" s="84">
        <v>-1181053</v>
      </c>
    </row>
    <row r="16" spans="1:5">
      <c r="B16" s="119" t="s">
        <v>7</v>
      </c>
      <c r="C16" s="161">
        <f>-'Working 31.03.15'!P71</f>
        <v>-729485</v>
      </c>
      <c r="D16" s="85">
        <f>-'Working 31.03.14'!P71</f>
        <v>-864741</v>
      </c>
      <c r="E16" s="85">
        <f>-'Working 31.03.13'!P57</f>
        <v>-1413719</v>
      </c>
    </row>
    <row r="17" spans="1:6">
      <c r="B17" s="132" t="s">
        <v>8</v>
      </c>
      <c r="C17" s="162">
        <f>SUM(C8:C16)</f>
        <v>34774373</v>
      </c>
      <c r="D17" s="84">
        <f>SUM(D8:D16)</f>
        <v>-12374950</v>
      </c>
      <c r="E17" s="84">
        <f>SUM(E8:E16)</f>
        <v>-7878060</v>
      </c>
      <c r="F17" s="120"/>
    </row>
    <row r="18" spans="1:6">
      <c r="C18" s="160"/>
      <c r="D18" s="83"/>
    </row>
    <row r="19" spans="1:6">
      <c r="B19" s="119" t="s">
        <v>9</v>
      </c>
      <c r="C19" s="160"/>
      <c r="D19" s="83"/>
    </row>
    <row r="20" spans="1:6">
      <c r="B20" s="119" t="s">
        <v>10</v>
      </c>
      <c r="C20" s="160">
        <f>'Working 31.03.15'!I61</f>
        <v>28573024</v>
      </c>
      <c r="D20" s="83">
        <f>+'Working 31.03.14'!I60</f>
        <v>18740698</v>
      </c>
      <c r="E20" s="83">
        <f>+'Working 31.03.13'!I59</f>
        <v>7677563</v>
      </c>
    </row>
    <row r="21" spans="1:6">
      <c r="B21" s="119" t="s">
        <v>11</v>
      </c>
      <c r="C21" s="160">
        <f>-'Working 31.03.15'!G36</f>
        <v>-18492775</v>
      </c>
      <c r="D21" s="83">
        <f>-'Working 31.03.14'!G36</f>
        <v>-5168070</v>
      </c>
      <c r="E21" s="83">
        <f>-'Working 31.03.13'!G36</f>
        <v>24602064</v>
      </c>
    </row>
    <row r="22" spans="1:6">
      <c r="B22" s="163" t="s">
        <v>12</v>
      </c>
      <c r="C22" s="164">
        <f>-'Working 31.03.15'!F71</f>
        <v>1495860</v>
      </c>
      <c r="D22" s="83">
        <f>-'Working 31.03.14'!F71</f>
        <v>-1495860</v>
      </c>
      <c r="E22" s="83">
        <f>+'Working 31.03.13'!F70</f>
        <v>1620</v>
      </c>
    </row>
    <row r="23" spans="1:6">
      <c r="B23" s="119" t="s">
        <v>13</v>
      </c>
      <c r="C23" s="160">
        <f>+'Working 31.03.15'!Q14</f>
        <v>-30825160</v>
      </c>
      <c r="D23" s="83">
        <f>+'Working 31.03.14'!Q14</f>
        <v>52075637</v>
      </c>
      <c r="E23" s="83">
        <f>+'Working 31.03.13'!Q14</f>
        <v>3160905</v>
      </c>
    </row>
    <row r="24" spans="1:6">
      <c r="B24" s="132" t="s">
        <v>14</v>
      </c>
      <c r="C24" s="86">
        <f>SUM(C17:C23)</f>
        <v>15525322</v>
      </c>
      <c r="D24" s="83">
        <f>SUM(D17:D23)</f>
        <v>51777455</v>
      </c>
      <c r="E24" s="83">
        <f>SUM(E17:E23)</f>
        <v>27564092</v>
      </c>
    </row>
    <row r="25" spans="1:6">
      <c r="B25" s="119" t="s">
        <v>136</v>
      </c>
      <c r="C25" s="160">
        <f>-'Working 31.03.15'!G14</f>
        <v>-350247</v>
      </c>
      <c r="D25" s="84">
        <f>-'Working 31.03.14'!G14</f>
        <v>-771175</v>
      </c>
      <c r="E25" s="84">
        <f>+'Working 31.03.13'!G14</f>
        <v>-4394354</v>
      </c>
      <c r="F25" s="120"/>
    </row>
    <row r="26" spans="1:6">
      <c r="B26" s="119" t="s">
        <v>180</v>
      </c>
      <c r="C26" s="86">
        <f>SUM(C24:C25)</f>
        <v>15175075</v>
      </c>
      <c r="D26" s="83">
        <f>SUM(D24:D25)</f>
        <v>51006280</v>
      </c>
      <c r="E26" s="83">
        <f>SUM(E24:E25)</f>
        <v>23169738</v>
      </c>
    </row>
    <row r="27" spans="1:6">
      <c r="B27" s="119" t="s">
        <v>185</v>
      </c>
      <c r="C27" s="160">
        <v>-68242005</v>
      </c>
      <c r="D27" s="188">
        <v>-10967500</v>
      </c>
      <c r="E27" s="87">
        <v>0</v>
      </c>
    </row>
    <row r="28" spans="1:6">
      <c r="B28" s="119" t="s">
        <v>184</v>
      </c>
      <c r="C28" s="160">
        <v>0</v>
      </c>
      <c r="D28" s="188">
        <v>2375000</v>
      </c>
      <c r="E28" s="188"/>
    </row>
    <row r="29" spans="1:6" ht="15.75" thickBot="1">
      <c r="B29" s="132" t="s">
        <v>15</v>
      </c>
      <c r="C29" s="165">
        <f>+C26+C27</f>
        <v>-53066930</v>
      </c>
      <c r="D29" s="88">
        <f>+D26+D27+D28</f>
        <v>42413780</v>
      </c>
      <c r="E29" s="88">
        <f>+E26+E27</f>
        <v>23169738</v>
      </c>
      <c r="F29" s="120"/>
    </row>
    <row r="30" spans="1:6" ht="15.75" thickTop="1">
      <c r="A30" s="119" t="s">
        <v>16</v>
      </c>
      <c r="B30" s="132" t="s">
        <v>138</v>
      </c>
      <c r="C30" s="160"/>
      <c r="D30" s="83"/>
    </row>
    <row r="31" spans="1:6">
      <c r="B31" s="119" t="s">
        <v>17</v>
      </c>
      <c r="C31" s="160">
        <f>'Working 31.03.15'!P38</f>
        <v>-12988514</v>
      </c>
      <c r="D31" s="84">
        <f>+'Working 31.03.14'!P38</f>
        <v>-1133252</v>
      </c>
      <c r="E31" s="84">
        <f>-'Working 31.03.13'!P24</f>
        <v>-6281764</v>
      </c>
    </row>
    <row r="32" spans="1:6">
      <c r="B32" s="119" t="s">
        <v>18</v>
      </c>
      <c r="C32" s="160">
        <f>'Working 31.03.15'!P74</f>
        <v>830447</v>
      </c>
      <c r="D32" s="83">
        <f>+'Working 31.03.14'!P74</f>
        <v>703303</v>
      </c>
      <c r="E32" s="83">
        <f>+'Working 31.03.13'!P60</f>
        <v>1995563</v>
      </c>
    </row>
    <row r="33" spans="1:8">
      <c r="B33" s="119" t="s">
        <v>19</v>
      </c>
      <c r="C33" s="160">
        <f>'Working 31.03.15'!P52</f>
        <v>3626150</v>
      </c>
      <c r="D33" s="83">
        <f>+'Working 31.03.14'!P52</f>
        <v>36486599</v>
      </c>
      <c r="E33" s="83">
        <v>24287894</v>
      </c>
    </row>
    <row r="34" spans="1:8">
      <c r="B34" s="119" t="s">
        <v>36</v>
      </c>
      <c r="C34" s="160">
        <v>896430</v>
      </c>
      <c r="D34" s="89">
        <v>836000</v>
      </c>
      <c r="E34" s="89">
        <v>1181053</v>
      </c>
    </row>
    <row r="35" spans="1:8">
      <c r="B35" s="119" t="s">
        <v>139</v>
      </c>
      <c r="C35" s="160">
        <v>0</v>
      </c>
      <c r="D35" s="90">
        <v>0</v>
      </c>
      <c r="E35" s="90">
        <v>0</v>
      </c>
    </row>
    <row r="36" spans="1:8">
      <c r="B36" s="119" t="s">
        <v>140</v>
      </c>
      <c r="C36" s="160">
        <f>'Working 31.03.15'!F79</f>
        <v>0</v>
      </c>
      <c r="D36" s="130">
        <f>+'Working 31.03.14'!F79</f>
        <v>-100000</v>
      </c>
      <c r="E36" s="91">
        <f>-'Working 31.03.13'!F78</f>
        <v>3575000</v>
      </c>
    </row>
    <row r="37" spans="1:8" ht="15.75" thickBot="1">
      <c r="B37" s="132" t="s">
        <v>152</v>
      </c>
      <c r="C37" s="165">
        <f>SUM(C31:C36)</f>
        <v>-7635487</v>
      </c>
      <c r="D37" s="88">
        <f>SUM(D31:D36)</f>
        <v>36792650</v>
      </c>
      <c r="E37" s="88">
        <f>SUM(E31:E36)</f>
        <v>24757746</v>
      </c>
    </row>
    <row r="38" spans="1:8" ht="15.75" thickTop="1">
      <c r="C38" s="160"/>
      <c r="D38" s="83"/>
    </row>
    <row r="39" spans="1:8">
      <c r="A39" s="119" t="s">
        <v>20</v>
      </c>
      <c r="B39" s="132" t="s">
        <v>151</v>
      </c>
      <c r="C39" s="160"/>
      <c r="D39" s="83"/>
    </row>
    <row r="40" spans="1:8">
      <c r="B40" s="92" t="s">
        <v>21</v>
      </c>
      <c r="C40" s="93">
        <f>'Working 31.03.15'!W50</f>
        <v>131171158</v>
      </c>
      <c r="D40" s="94">
        <f>+'Working 31.03.14'!W50</f>
        <v>-31601023</v>
      </c>
      <c r="E40" s="95">
        <f>+'Working 31.03.13'!V50</f>
        <v>23045520</v>
      </c>
    </row>
    <row r="41" spans="1:8">
      <c r="B41" s="92" t="s">
        <v>22</v>
      </c>
      <c r="C41" s="93">
        <v>0</v>
      </c>
      <c r="D41" s="83"/>
      <c r="E41" s="96">
        <v>0</v>
      </c>
      <c r="H41" s="119">
        <v>4464313</v>
      </c>
    </row>
    <row r="42" spans="1:8">
      <c r="B42" s="119" t="s">
        <v>23</v>
      </c>
      <c r="C42" s="160">
        <v>0</v>
      </c>
      <c r="D42" s="97">
        <v>0</v>
      </c>
      <c r="E42" s="98">
        <v>0</v>
      </c>
      <c r="H42" s="119">
        <v>1274</v>
      </c>
    </row>
    <row r="43" spans="1:8">
      <c r="B43" s="119" t="s">
        <v>37</v>
      </c>
      <c r="C43" s="160">
        <f>'Working 31.03.15'!W60</f>
        <v>-28000293</v>
      </c>
      <c r="D43" s="84">
        <f>+'Working 31.03.14'!W60</f>
        <v>-17144602</v>
      </c>
      <c r="E43" s="84">
        <f>-'Working 31.03.13'!V60</f>
        <v>-47805942</v>
      </c>
      <c r="H43" s="119">
        <f>SUM(H41:H42)</f>
        <v>4465587</v>
      </c>
    </row>
    <row r="44" spans="1:8">
      <c r="B44" s="119" t="s">
        <v>24</v>
      </c>
      <c r="C44" s="160">
        <f>'Working 31.03.15'!P85</f>
        <v>-40298713</v>
      </c>
      <c r="D44" s="85">
        <f>+'Working 31.03.14'!P85</f>
        <v>-29889922</v>
      </c>
      <c r="E44" s="85">
        <f>+'Working 31.03.13'!P71</f>
        <v>-35397111</v>
      </c>
    </row>
    <row r="45" spans="1:8" ht="15.75" thickBot="1">
      <c r="B45" s="132" t="s">
        <v>153</v>
      </c>
      <c r="C45" s="166">
        <f>SUM(C40:C44)</f>
        <v>62872152</v>
      </c>
      <c r="D45" s="99">
        <f>SUM(D40:D44)</f>
        <v>-78635547</v>
      </c>
      <c r="E45" s="99">
        <f>SUM(E40:E44)</f>
        <v>-60157533</v>
      </c>
      <c r="G45" s="119" t="s">
        <v>39</v>
      </c>
    </row>
    <row r="46" spans="1:8" ht="15.75" thickTop="1">
      <c r="C46" s="160"/>
      <c r="D46" s="83"/>
    </row>
    <row r="47" spans="1:8">
      <c r="B47" s="119" t="s">
        <v>154</v>
      </c>
      <c r="C47" s="167">
        <f>+C29+C37+C45</f>
        <v>2169735</v>
      </c>
      <c r="D47" s="100">
        <f>+D29+D37+D45</f>
        <v>570883</v>
      </c>
      <c r="E47" s="100">
        <f>+E29+E37+E45</f>
        <v>-12230049</v>
      </c>
      <c r="F47" s="120"/>
    </row>
    <row r="48" spans="1:8">
      <c r="C48" s="160"/>
      <c r="D48" s="83"/>
      <c r="F48" s="120"/>
    </row>
    <row r="49" spans="1:9">
      <c r="B49" s="119" t="s">
        <v>25</v>
      </c>
      <c r="C49" s="160">
        <v>5893843</v>
      </c>
      <c r="D49" s="83">
        <f>+E50</f>
        <v>7697960</v>
      </c>
      <c r="E49" s="83">
        <v>19928009</v>
      </c>
      <c r="H49" s="168"/>
    </row>
    <row r="50" spans="1:9">
      <c r="B50" s="119" t="s">
        <v>26</v>
      </c>
      <c r="C50" s="160">
        <f>C58</f>
        <v>8063578.3300000001</v>
      </c>
      <c r="D50" s="83">
        <f>+D58</f>
        <v>5893843</v>
      </c>
      <c r="E50" s="83">
        <f>+E47+E49</f>
        <v>7697960</v>
      </c>
      <c r="F50" s="83"/>
      <c r="G50" s="84"/>
      <c r="H50" s="84"/>
      <c r="I50" s="84"/>
    </row>
    <row r="51" spans="1:9">
      <c r="C51" s="160"/>
      <c r="D51" s="83"/>
      <c r="F51" s="120"/>
      <c r="H51" s="84"/>
    </row>
    <row r="52" spans="1:9">
      <c r="B52" s="169" t="s">
        <v>27</v>
      </c>
      <c r="C52" s="170"/>
      <c r="D52" s="184"/>
      <c r="E52" s="101"/>
      <c r="G52" s="84"/>
      <c r="H52" s="84"/>
    </row>
    <row r="53" spans="1:9">
      <c r="B53" s="171" t="s">
        <v>28</v>
      </c>
      <c r="C53" s="172">
        <v>132740.57999999999</v>
      </c>
      <c r="D53" s="185">
        <v>180713</v>
      </c>
      <c r="E53" s="89">
        <v>506117</v>
      </c>
      <c r="H53" s="168"/>
    </row>
    <row r="54" spans="1:9">
      <c r="B54" s="171" t="s">
        <v>29</v>
      </c>
      <c r="C54" s="172"/>
      <c r="D54" s="185"/>
      <c r="E54" s="89"/>
    </row>
    <row r="55" spans="1:9">
      <c r="B55" s="171" t="s">
        <v>30</v>
      </c>
      <c r="C55" s="172">
        <v>1890198.75</v>
      </c>
      <c r="D55" s="185">
        <v>173334</v>
      </c>
      <c r="E55" s="89">
        <v>1351391</v>
      </c>
    </row>
    <row r="56" spans="1:9">
      <c r="B56" s="171" t="s">
        <v>34</v>
      </c>
      <c r="C56" s="172">
        <f>6039310</f>
        <v>6039310</v>
      </c>
      <c r="D56" s="187">
        <f>5866597-327287</f>
        <v>5539310</v>
      </c>
      <c r="E56" s="89">
        <v>5839310</v>
      </c>
    </row>
    <row r="57" spans="1:9">
      <c r="B57" s="171" t="s">
        <v>169</v>
      </c>
      <c r="C57" s="172">
        <v>1329</v>
      </c>
      <c r="D57" s="185">
        <v>486</v>
      </c>
      <c r="E57" s="89">
        <v>1142</v>
      </c>
    </row>
    <row r="58" spans="1:9">
      <c r="B58" s="173"/>
      <c r="C58" s="183">
        <f>SUM(C53:C57)</f>
        <v>8063578.3300000001</v>
      </c>
      <c r="D58" s="186">
        <f>SUM(D53:D57)</f>
        <v>5893843</v>
      </c>
      <c r="E58" s="174">
        <f>SUM(E53:E57)</f>
        <v>7697960</v>
      </c>
    </row>
    <row r="59" spans="1:9">
      <c r="B59" s="119" t="s">
        <v>31</v>
      </c>
      <c r="D59" s="97"/>
    </row>
    <row r="60" spans="1:9">
      <c r="C60" s="98">
        <f>C47+C49-C50</f>
        <v>-0.33000000007450581</v>
      </c>
      <c r="D60" s="98">
        <f>D47+D49-D50</f>
        <v>2375000</v>
      </c>
      <c r="H60" s="102"/>
      <c r="I60" s="102"/>
    </row>
    <row r="62" spans="1:9">
      <c r="A62" s="103"/>
      <c r="B62" s="201" t="s">
        <v>41</v>
      </c>
      <c r="C62" s="201"/>
      <c r="D62" s="201"/>
      <c r="E62" s="201"/>
    </row>
    <row r="63" spans="1:9">
      <c r="B63" s="104" t="s">
        <v>143</v>
      </c>
      <c r="C63" s="197" t="s">
        <v>141</v>
      </c>
      <c r="D63" s="197"/>
      <c r="E63" s="197"/>
    </row>
    <row r="64" spans="1:9">
      <c r="B64" s="105" t="s">
        <v>38</v>
      </c>
      <c r="C64" s="197" t="s">
        <v>142</v>
      </c>
      <c r="D64" s="198"/>
      <c r="E64" s="198"/>
    </row>
    <row r="65" spans="1:6" ht="10.5" customHeight="1">
      <c r="A65" s="106" t="s">
        <v>39</v>
      </c>
      <c r="B65" s="197"/>
      <c r="C65" s="197"/>
      <c r="D65" s="197"/>
      <c r="E65" s="197"/>
    </row>
    <row r="66" spans="1:6" ht="8.25" customHeight="1">
      <c r="A66" s="107" t="s">
        <v>39</v>
      </c>
      <c r="B66" s="107"/>
      <c r="C66" s="107"/>
      <c r="D66" s="181"/>
    </row>
    <row r="67" spans="1:6">
      <c r="B67" s="107" t="s">
        <v>144</v>
      </c>
      <c r="C67" s="107"/>
      <c r="D67" s="181" t="s">
        <v>39</v>
      </c>
      <c r="E67" s="109" t="s">
        <v>177</v>
      </c>
    </row>
    <row r="68" spans="1:6">
      <c r="B68" s="110" t="s">
        <v>40</v>
      </c>
      <c r="C68" s="110"/>
      <c r="D68" s="110"/>
      <c r="E68" s="111" t="s">
        <v>159</v>
      </c>
    </row>
    <row r="69" spans="1:6" ht="15.75" customHeight="1">
      <c r="A69" s="107" t="s">
        <v>39</v>
      </c>
      <c r="B69" s="105"/>
      <c r="C69" s="105"/>
      <c r="D69" s="107" t="s">
        <v>39</v>
      </c>
      <c r="E69" s="111" t="s">
        <v>178</v>
      </c>
    </row>
    <row r="70" spans="1:6">
      <c r="B70" s="104" t="s">
        <v>174</v>
      </c>
      <c r="C70" s="104"/>
      <c r="D70" s="104"/>
      <c r="E70" s="104"/>
    </row>
    <row r="71" spans="1:6">
      <c r="B71" s="110" t="s">
        <v>158</v>
      </c>
      <c r="C71" s="110"/>
      <c r="D71" s="110"/>
      <c r="E71" s="110"/>
    </row>
    <row r="72" spans="1:6" ht="13.5" customHeight="1">
      <c r="A72" s="112"/>
      <c r="B72" s="195" t="s">
        <v>145</v>
      </c>
      <c r="C72" s="195"/>
      <c r="D72" s="195"/>
      <c r="E72" s="195"/>
    </row>
    <row r="73" spans="1:6" ht="14.25" customHeight="1">
      <c r="A73" s="112"/>
      <c r="B73" s="195" t="s">
        <v>42</v>
      </c>
      <c r="C73" s="195"/>
      <c r="D73" s="195"/>
      <c r="E73" s="195"/>
    </row>
    <row r="74" spans="1:6">
      <c r="B74" s="104" t="s">
        <v>146</v>
      </c>
      <c r="C74" s="104"/>
      <c r="D74" s="104"/>
      <c r="E74" s="181" t="s">
        <v>147</v>
      </c>
    </row>
    <row r="75" spans="1:6">
      <c r="B75" s="110" t="s">
        <v>148</v>
      </c>
      <c r="C75" s="110"/>
      <c r="D75" s="110"/>
      <c r="E75" s="180" t="s">
        <v>149</v>
      </c>
    </row>
    <row r="76" spans="1:6">
      <c r="A76" s="112"/>
      <c r="B76" s="106"/>
      <c r="C76" s="106"/>
      <c r="D76" s="106"/>
      <c r="E76" s="114"/>
    </row>
    <row r="77" spans="1:6">
      <c r="B77" s="112" t="s">
        <v>150</v>
      </c>
      <c r="C77" s="112"/>
      <c r="D77" s="107"/>
      <c r="E77" s="114"/>
      <c r="F77" s="115"/>
    </row>
    <row r="78" spans="1:6">
      <c r="B78" s="112" t="s">
        <v>157</v>
      </c>
      <c r="C78" s="112"/>
      <c r="D78" s="107"/>
      <c r="E78" s="105"/>
      <c r="F78" s="116"/>
    </row>
    <row r="79" spans="1:6">
      <c r="D79" s="132"/>
    </row>
    <row r="80" spans="1:6">
      <c r="D80" s="132"/>
    </row>
    <row r="81" spans="4:4">
      <c r="D81" s="132"/>
    </row>
    <row r="82" spans="4:4">
      <c r="D82" s="132"/>
    </row>
    <row r="83" spans="4:4">
      <c r="D83" s="132"/>
    </row>
    <row r="84" spans="4:4">
      <c r="D84" s="132"/>
    </row>
    <row r="85" spans="4:4">
      <c r="D85" s="132"/>
    </row>
    <row r="86" spans="4:4">
      <c r="D86" s="132"/>
    </row>
    <row r="87" spans="4:4">
      <c r="D87" s="132"/>
    </row>
    <row r="88" spans="4:4">
      <c r="D88" s="175"/>
    </row>
    <row r="92" spans="4:4">
      <c r="D92" s="132"/>
    </row>
  </sheetData>
  <mergeCells count="8">
    <mergeCell ref="B72:E72"/>
    <mergeCell ref="B73:E73"/>
    <mergeCell ref="A1:E1"/>
    <mergeCell ref="A3:E3"/>
    <mergeCell ref="B62:E62"/>
    <mergeCell ref="C63:E63"/>
    <mergeCell ref="C64:E64"/>
    <mergeCell ref="B65:E65"/>
  </mergeCells>
  <hyperlinks>
    <hyperlink ref="D40" r:id="rId1" display="=-@sum(+Sheet1!S24)"/>
    <hyperlink ref="E41" r:id="rId2" display="=-@sum(+Sheet1!S24)"/>
  </hyperlinks>
  <pageMargins left="0.7" right="0.7" top="0.48" bottom="0.39" header="0.3" footer="0.3"/>
  <pageSetup paperSize="9" scale="69" orientation="portrait" r:id="rId3"/>
  <rowBreaks count="1" manualBreakCount="1">
    <brk id="87" max="16383" man="1"/>
  </rowBreaks>
  <colBreaks count="1" manualBreakCount="1">
    <brk id="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Cash flow</vt:lpstr>
      <vt:lpstr>Working 31.03.14</vt:lpstr>
      <vt:lpstr>Working 31.03.13</vt:lpstr>
      <vt:lpstr>Working 31.03.15</vt:lpstr>
      <vt:lpstr>Sheet1</vt:lpstr>
      <vt:lpstr>Works</vt:lpstr>
      <vt:lpstr>'Cash flow'!Print_Area</vt:lpstr>
      <vt:lpstr>'Working 31.03.13'!Print_Area</vt:lpstr>
      <vt:lpstr>'Working 31.03.14'!Print_Area</vt:lpstr>
      <vt:lpstr>'Working 31.03.15'!Print_Area</vt:lpstr>
      <vt:lpstr>Works!Print_Area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SRMC</cp:lastModifiedBy>
  <cp:lastPrinted>2015-07-27T03:51:21Z</cp:lastPrinted>
  <dcterms:created xsi:type="dcterms:W3CDTF">2011-05-26T14:11:07Z</dcterms:created>
  <dcterms:modified xsi:type="dcterms:W3CDTF">2015-07-29T11:29:17Z</dcterms:modified>
</cp:coreProperties>
</file>